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35" activeTab="0"/>
  </bookViews>
  <sheets>
    <sheet name="Смета по ФЕР (редакция 2009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 (редакция 2009)'!$34:$34</definedName>
    <definedName name="_xlnm.Print_Area" localSheetId="0">'Смета по ФЕР (редакция 2009)'!$A$1:$K$74</definedName>
  </definedNames>
  <calcPr fullCalcOnLoad="1"/>
</workbook>
</file>

<file path=xl/sharedStrings.xml><?xml version="1.0" encoding="utf-8"?>
<sst xmlns="http://schemas.openxmlformats.org/spreadsheetml/2006/main" count="665" uniqueCount="224">
  <si>
    <t>Новый объект</t>
  </si>
  <si>
    <t>№184-22.06.16 В ФЕР Корректировка сметы под сумму(Дмитрий Пожарский)</t>
  </si>
  <si>
    <t/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</si>
  <si>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</si>
  <si>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</si>
  <si>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</si>
  <si>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</si>
  <si>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Версия 7.0.0.7 от 28.10.2011: для ФЕР, с п.3757-КК/08, п.6056-ИП/08,п.10753-ВТ/08 и п.15127-ИП/08 (Кап. ремонт жилых / общ. зд.): Центральные регионы: Текущие цены</t>
  </si>
  <si>
    <t>Новая локальная смета</t>
  </si>
  <si>
    <t>{04CE3260-55A9-425E-96B5-34E911A81DF0}</t>
  </si>
  <si>
    <t>Новый раздел</t>
  </si>
  <si>
    <t>Электроснабжение системы вентиляции оперблоков</t>
  </si>
  <si>
    <t>{D6C18F01-96CD-46BF-9BF6-43D495545D7D}</t>
  </si>
  <si>
    <t>1</t>
  </si>
  <si>
    <t>67-3-1</t>
  </si>
  <si>
    <t>Демонтаж кабеля</t>
  </si>
  <si>
    <t>100 м</t>
  </si>
  <si>
    <t>ФЕРр 67-3-1 пр.№31/пр от 30.01.2014 г.</t>
  </si>
  <si>
    <t>Ремонтно-строительные работы</t>
  </si>
  <si>
    <t>Электромонтажные работы</t>
  </si>
  <si>
    <t>ФЕРр-67</t>
  </si>
  <si>
    <t>((*0.85))</t>
  </si>
  <si>
    <t>((*0.8))</t>
  </si>
  <si>
    <t>3</t>
  </si>
  <si>
    <t>м08-02-405-6</t>
  </si>
  <si>
    <t>Провод по установленным стальным конструкциям и панелям, сечение до 400 мм2</t>
  </si>
  <si>
    <t>ФЕРм м08-02-405-6 пр.№31/пр от 30.01.2014 г.</t>
  </si>
  <si>
    <t>)*1.35</t>
  </si>
  <si>
    <t>Монтажные работы</t>
  </si>
  <si>
    <t>Электромонтажные работы: ( на АЭС  НР = 110% ) - (работы по упр. авиа.- движением:  СП=55% (  {АВИА}=1; обычные работы : СП=65 - {AВИА}=0), при работе на АЭС СП= 68% )</t>
  </si>
  <si>
    <t>ФЕРм-08</t>
  </si>
  <si>
    <t>5</t>
  </si>
  <si>
    <t>501-8621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</si>
  <si>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 ВВГнг(A)-LS 5х70мс(N,PE)</t>
  </si>
  <si>
    <t>1000 м</t>
  </si>
  <si>
    <t>ФССЦ 501-8621 пр.№31/пр от 30.01.2014 г.</t>
  </si>
  <si>
    <t>1000 М</t>
  </si>
  <si>
    <t>Материалы</t>
  </si>
  <si>
    <t>Материалы и конструкции ( монтажные )</t>
  </si>
  <si>
    <t>ФССЦ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</si>
  <si>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</si>
  <si>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</si>
  <si>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</si>
  <si>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</si>
  <si>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</si>
  <si>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</si>
  <si>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</si>
  <si>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</si>
  <si>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</si>
  <si>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</si>
  <si>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</si>
  <si>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</si>
  <si>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</si>
  <si>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</si>
  <si>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</si>
  <si>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</si>
  <si>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</si>
  <si>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</si>
  <si>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</si>
  <si>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</si>
  <si>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</si>
  <si>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</si>
  <si>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</si>
  <si>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</si>
  <si>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</si>
  <si>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</si>
  <si>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ит1</t>
  </si>
  <si>
    <t>Всего по смете</t>
  </si>
  <si>
    <t>ндс</t>
  </si>
  <si>
    <t>НДС 18%</t>
  </si>
  <si>
    <t>итого</t>
  </si>
  <si>
    <t>Итого с НДС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</si>
  <si>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</si>
  <si>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</si>
  <si>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</si>
  <si>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</si>
  <si>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</si>
  <si>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</si>
  <si>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</si>
  <si>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</si>
  <si>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</si>
  <si>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</si>
  <si>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</si>
  <si>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</si>
  <si>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</si>
  <si>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</si>
  <si>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</si>
  <si>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</si>
  <si>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</si>
  <si>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</si>
  <si>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</si>
  <si>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</si>
  <si>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</si>
  <si>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</si>
  <si>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</si>
  <si>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</si>
  <si>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</si>
  <si>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</si>
  <si>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</si>
  <si>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</si>
  <si>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</si>
  <si>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</si>
  <si>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</si>
  <si>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</si>
  <si>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</si>
  <si>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</si>
  <si>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</si>
  <si>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</si>
  <si>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</si>
  <si>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</si>
  <si>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</si>
  <si>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</si>
  <si>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</si>
  <si>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</si>
  <si>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</si>
  <si>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</si>
  <si>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</si>
  <si>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1-1020</t>
  </si>
  <si>
    <t>Рабочий строитель среднего разряда 2</t>
  </si>
  <si>
    <t>чел.-ч</t>
  </si>
  <si>
    <t>2</t>
  </si>
  <si>
    <t>Затраты труда машинистов</t>
  </si>
  <si>
    <t>чел.час</t>
  </si>
  <si>
    <t>030954</t>
  </si>
  <si>
    <t>ФСЭМ 030954 пр.№31/пр от 30.01.2014 г.</t>
  </si>
  <si>
    <t>Подъемники грузоподъемностью до 500 кг одномачтовые, высота подъема 45 м</t>
  </si>
  <si>
    <t>маш.-ч</t>
  </si>
  <si>
    <t>1-2038</t>
  </si>
  <si>
    <t>Рабочий монтажник среднего разряда 3,8</t>
  </si>
  <si>
    <t>021102</t>
  </si>
  <si>
    <t>ФСЭМ 021102 пр.№31/пр от 30.01.2014 г.</t>
  </si>
  <si>
    <t>Краны на автомобильном ходу при работе на монтаже технологического оборудования 10 т</t>
  </si>
  <si>
    <t>040502</t>
  </si>
  <si>
    <t>ФСЭМ 040502 пр.№31/пр от 30.01.2014 г.</t>
  </si>
  <si>
    <t>Установки для сварки ручной дуговой (постоянного тока)</t>
  </si>
  <si>
    <t>330206</t>
  </si>
  <si>
    <t>ФСЭМ 330206 пр.№31/пр от 30.01.2014 г.</t>
  </si>
  <si>
    <t>Дрели электрические</t>
  </si>
  <si>
    <t>400001</t>
  </si>
  <si>
    <t>ФСЭМ 400001 пр.№31/пр от 30.01.2014 г.</t>
  </si>
  <si>
    <t>Автомобили бортовые, грузоподъемность до 5 т</t>
  </si>
  <si>
    <t>101-0115</t>
  </si>
  <si>
    <t>ФССЦ 101-0115 пр.№31/пр от 30.01.2014 г.</t>
  </si>
  <si>
    <t>Винты с полукруглой головкой длиной 50 мм</t>
  </si>
  <si>
    <t>т</t>
  </si>
  <si>
    <t>101-1924</t>
  </si>
  <si>
    <t>ФССЦ 101-1924 пр.№31/пр от 30.01.2014 г.</t>
  </si>
  <si>
    <t>Электроды диаметром 4 мм Э42А</t>
  </si>
  <si>
    <t>кг</t>
  </si>
  <si>
    <t>101-2143</t>
  </si>
  <si>
    <t>ФССЦ 101-2143 пр.№31/пр от 30.01.2014 г.</t>
  </si>
  <si>
    <t>Краска</t>
  </si>
  <si>
    <t>501-7944</t>
  </si>
  <si>
    <t>509-0860</t>
  </si>
  <si>
    <t>ФССЦ 509-0860 пр.№31/пр от 30.01.2014 г.</t>
  </si>
  <si>
    <t>Прессшпан листовой, марки А</t>
  </si>
  <si>
    <t>999-9950</t>
  </si>
  <si>
    <t>ФССЦ 999-9950 пр.№31/пр от 30.01.2014 г.</t>
  </si>
  <si>
    <t>Вспомогательные ненормируемые материалы (2% от ОЗП)</t>
  </si>
  <si>
    <t>РУБ</t>
  </si>
  <si>
    <t>Форма № 1а</t>
  </si>
  <si>
    <t>"СОГЛАСОВАНО"</t>
  </si>
  <si>
    <t>"УТВЕРЖДАЮ"</t>
  </si>
  <si>
    <t>"_____"________________200___ г.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</si>
  <si>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</si>
  <si>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</si>
  <si>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</si>
  <si>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</si>
  <si>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</si>
  <si>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</si>
  <si>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</si>
  <si>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</si>
  <si>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</si>
  <si>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</si>
  <si>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</si>
  <si>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</si>
  <si>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</si>
  <si>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</si>
  <si>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</si>
  <si>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</si>
  <si>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</si>
  <si>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</si>
  <si>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</si>
  <si>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</si>
  <si>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</si>
  <si>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</si>
  <si>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</si>
  <si>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</si>
  <si>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</si>
  <si>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</si>
  <si>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</si>
  <si>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</si>
  <si>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</si>
  <si>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</si>
  <si>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</si>
  <si>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</si>
  <si>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</si>
  <si>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</si>
  <si>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</si>
  <si>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</si>
  <si>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</si>
  <si>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</si>
  <si>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</si>
  <si>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</si>
  <si>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</si>
  <si>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</si>
  <si>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</si>
  <si>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</si>
  <si>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</si>
  <si>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 xml:space="preserve">Раздел  </t>
  </si>
  <si>
    <t>ЗП</t>
  </si>
  <si>
    <t>ЭМ</t>
  </si>
  <si>
    <t>в т.ч. ЗПМ</t>
  </si>
  <si>
    <t>%</t>
  </si>
  <si>
    <t>ЗТР</t>
  </si>
  <si>
    <t>чел-ч</t>
  </si>
  <si>
    <t>МР</t>
  </si>
  <si>
    <t>Итого</t>
  </si>
  <si>
    <t>Итого по смете</t>
  </si>
  <si>
    <t>Итого по объекту</t>
  </si>
  <si>
    <t>Составил</t>
  </si>
  <si>
    <t>[должность,подпись(инициалы,фамилия)]</t>
  </si>
  <si>
    <t>Проверил:</t>
  </si>
  <si>
    <t xml:space="preserve">ЛОКАЛЬНАЯ СМЕТА №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</si>
</sst>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\ #,##0.00"/>
    <numFmt numFmtId="181" formatCode="mmm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7" xfId="0" applyFont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80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left" wrapText="1"/>
    </xf>
    <xf numFmtId="18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17" xfId="0" applyFont="1" applyBorder="1" applyAlignment="1">
      <alignment horizontal="center"/>
    </xf>
    <xf numFmtId="180" fontId="1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view="pageLayout" zoomScaleNormal="180" workbookViewId="0" topLeftCell="A7">
      <selection activeCell="D25" sqref="D25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30.7109375" style="0" customWidth="1"/>
    <col min="4" max="4" width="11.7109375" style="0" customWidth="1"/>
    <col min="6" max="6" width="9.8515625" style="0" bestFit="1" customWidth="1"/>
    <col min="7" max="8" width="10.7109375" style="0" customWidth="1"/>
    <col min="10" max="10" width="10.7109375" style="0" customWidth="1"/>
    <col min="12" max="13" width="0" style="0" hidden="1" customWidth="1"/>
    <col min="27" max="27" width="75.421875" style="0" hidden="1" customWidth="1"/>
    <col min="28" max="28" width="0" style="0" hidden="1" customWidth="1"/>
  </cols>
  <sheetData>
    <row r="1" s="4" customFormat="1" ht="11.25">
      <c r="A1" s="4">
        <f>Source!B1</f>
        <v>0</v>
      </c>
    </row>
    <row r="2" s="4" customFormat="1" ht="11.25">
      <c r="K2" s="4" t="s">
        <v>160</v>
      </c>
    </row>
    <row r="3" spans="1:9" s="5" customFormat="1" ht="15">
      <c r="A3" s="5" t="s">
        <v>161</v>
      </c>
      <c r="F3" s="62" t="s">
        <v>162</v>
      </c>
      <c r="G3" s="62"/>
      <c r="H3" s="62"/>
      <c r="I3" s="62"/>
    </row>
    <row r="5" spans="1:11" ht="12.75">
      <c r="A5" s="63">
        <f>Source!AS12</f>
      </c>
      <c r="B5" s="63"/>
      <c r="C5" s="63">
        <f>Source!CH12</f>
      </c>
      <c r="D5" s="63"/>
      <c r="E5" s="7"/>
      <c r="F5" s="63">
        <f>Source!AR12</f>
      </c>
      <c r="G5" s="63"/>
      <c r="H5" s="63"/>
      <c r="I5" s="63">
        <f>Source!CG12</f>
      </c>
      <c r="J5" s="63"/>
      <c r="K5" s="63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63">
        <f>Source!M12</f>
      </c>
      <c r="D7" s="63"/>
      <c r="E7" s="7"/>
      <c r="F7" s="8"/>
      <c r="G7" s="8"/>
      <c r="H7" s="63">
        <f>Source!L12</f>
      </c>
      <c r="I7" s="63"/>
      <c r="J7" s="63"/>
      <c r="K7" s="63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163</v>
      </c>
      <c r="F9" s="5" t="s">
        <v>163</v>
      </c>
    </row>
    <row r="11" spans="1:27" ht="12.75">
      <c r="A11" s="56" t="str">
        <f>IF(Source!G4&lt;&gt;"",Source!G4,IF(Source!F4&lt;&gt;"",Source!F4,IF(Source!G5&lt;&gt;"",Source!G5,IF(Source!F5&lt;&gt;"",Source!F5,IF(Source!G6&lt;&gt;"",Source!G6,IF(Source!F6&lt;&gt;"",Source!F6," "))))))</f>
        <v> 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AA11" s="10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1" ht="12.75">
      <c r="A12" s="57" t="s">
        <v>164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4" spans="1:27" ht="15">
      <c r="A14" s="59" t="s">
        <v>223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AA14" s="11" t="str">
        <f>CONCATENATE("ЛОКАЛЬНАЯ СМЕТА №  ",Source!F20)</f>
        <v>ЛОКАЛЬНАЯ СМЕТА №  Новая локальная смета</v>
      </c>
    </row>
    <row r="15" spans="1:11" ht="12.75">
      <c r="A15" s="50" t="s">
        <v>165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7" spans="1:27" ht="15.75" hidden="1">
      <c r="A17" s="60"/>
      <c r="B17" s="51"/>
      <c r="C17" s="51"/>
      <c r="D17" s="51"/>
      <c r="E17" s="51"/>
      <c r="F17" s="51"/>
      <c r="G17" s="51"/>
      <c r="H17" s="51"/>
      <c r="I17" s="51"/>
      <c r="J17" s="51"/>
      <c r="K17" s="51"/>
      <c r="AA17" s="12" t="str">
        <f>Source!G20</f>
        <v>Новая локальная смета</v>
      </c>
    </row>
    <row r="19" spans="1:27" ht="25.5" customHeight="1">
      <c r="A19" s="4" t="s">
        <v>166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AA19" s="13" t="str">
        <f>IF(Source!G12&lt;&gt;"",Source!G12,Source!F12)</f>
        <v>№184-22.06.16 В ФЕР Корректировка сметы под сумму(Дмитрий Пожарский)</v>
      </c>
    </row>
    <row r="20" spans="2:11" ht="12.75">
      <c r="B20" s="50" t="s">
        <v>167</v>
      </c>
      <c r="C20" s="51"/>
      <c r="D20" s="51"/>
      <c r="E20" s="51"/>
      <c r="F20" s="51"/>
      <c r="G20" s="51"/>
      <c r="H20" s="51"/>
      <c r="I20" s="51"/>
      <c r="J20" s="51"/>
      <c r="K20" s="51"/>
    </row>
    <row r="22" spans="1:27" ht="12.75">
      <c r="A22" s="44" t="str">
        <f>CONCATENATE("Основание: чертежи № ",Source!J20)</f>
        <v>Основание: чертежи №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AA22" s="14" t="str">
        <f>CONCATENATE("Основание: чертежи № ",Source!J20)</f>
        <v>Основание: чертежи № </v>
      </c>
    </row>
    <row r="24" spans="9:10" ht="12.75">
      <c r="I24" s="15" t="s">
        <v>168</v>
      </c>
      <c r="J24" s="15" t="s">
        <v>169</v>
      </c>
    </row>
    <row r="25" spans="9:10" ht="12.75">
      <c r="I25" s="15" t="s">
        <v>170</v>
      </c>
      <c r="J25" s="15" t="s">
        <v>170</v>
      </c>
    </row>
    <row r="26" spans="7:11" ht="12.75">
      <c r="G26" s="4" t="s">
        <v>171</v>
      </c>
      <c r="H26" s="4"/>
      <c r="I26" s="16">
        <f>H61/1000</f>
        <v>9.81299</v>
      </c>
      <c r="J26" s="17">
        <f>(Source!O22+Source!X22+Source!Y22)/1000+(Source!O22+Source!X22+Source!Y22)/1000*0.18</f>
        <v>60.707330199999994</v>
      </c>
      <c r="K26" s="6" t="s">
        <v>172</v>
      </c>
    </row>
    <row r="27" spans="7:11" ht="12.75">
      <c r="G27" s="4" t="s">
        <v>173</v>
      </c>
      <c r="H27" s="4"/>
      <c r="I27" s="16">
        <f>L61/1000</f>
        <v>0.2306287062937063</v>
      </c>
      <c r="J27" s="17">
        <f>((Source!F56+Source!F55)/1000)</f>
        <v>5.276770000000001</v>
      </c>
      <c r="K27" s="6" t="s">
        <v>172</v>
      </c>
    </row>
    <row r="28" spans="1:6" ht="12.75">
      <c r="A28" s="4" t="s">
        <v>174</v>
      </c>
      <c r="B28" s="4"/>
      <c r="C28" s="4"/>
      <c r="D28" s="18">
        <f>IF(AND(Source!P12&lt;&gt;0,Source!Q12&lt;&gt;0),DATE(Source!P12,Source!Q12,1),IF(Source!AF12=0,"",IF(Source!AN12=0,"",DATE(Source!AF12,Source!AN12,1))))</f>
        <v>42248</v>
      </c>
      <c r="E28" s="19">
        <f>IF(AND(Source!P12&lt;&gt;0,Source!Q12&lt;&gt;0),Source!P12,IF(Source!AF12=0,"",Source!AF12))</f>
        <v>2015</v>
      </c>
      <c r="F28" s="4" t="s">
        <v>175</v>
      </c>
    </row>
    <row r="29" spans="1:11" ht="12.75">
      <c r="A29" s="24"/>
      <c r="B29" s="24"/>
      <c r="C29" s="24"/>
      <c r="D29" s="24"/>
      <c r="E29" s="24"/>
      <c r="F29" s="23" t="s">
        <v>188</v>
      </c>
      <c r="G29" s="52" t="s">
        <v>192</v>
      </c>
      <c r="H29" s="53"/>
      <c r="I29" s="23" t="s">
        <v>198</v>
      </c>
      <c r="J29" s="23" t="s">
        <v>201</v>
      </c>
      <c r="K29" s="22" t="s">
        <v>198</v>
      </c>
    </row>
    <row r="30" spans="1:11" ht="12.75">
      <c r="A30" s="21" t="s">
        <v>176</v>
      </c>
      <c r="B30" s="21" t="s">
        <v>178</v>
      </c>
      <c r="C30" s="25"/>
      <c r="D30" s="21" t="s">
        <v>183</v>
      </c>
      <c r="E30" s="21" t="s">
        <v>186</v>
      </c>
      <c r="F30" s="21" t="s">
        <v>189</v>
      </c>
      <c r="G30" s="23"/>
      <c r="H30" s="23" t="s">
        <v>195</v>
      </c>
      <c r="I30" s="21" t="s">
        <v>199</v>
      </c>
      <c r="J30" s="21" t="s">
        <v>202</v>
      </c>
      <c r="K30" s="20" t="s">
        <v>206</v>
      </c>
    </row>
    <row r="31" spans="1:11" ht="12.75">
      <c r="A31" s="21" t="s">
        <v>177</v>
      </c>
      <c r="B31" s="21" t="s">
        <v>179</v>
      </c>
      <c r="C31" s="21" t="s">
        <v>182</v>
      </c>
      <c r="D31" s="21" t="s">
        <v>184</v>
      </c>
      <c r="E31" s="21" t="s">
        <v>187</v>
      </c>
      <c r="F31" s="21" t="s">
        <v>190</v>
      </c>
      <c r="G31" s="21" t="s">
        <v>193</v>
      </c>
      <c r="H31" s="21" t="s">
        <v>196</v>
      </c>
      <c r="I31" s="21" t="s">
        <v>200</v>
      </c>
      <c r="J31" s="21" t="s">
        <v>203</v>
      </c>
      <c r="K31" s="26" t="s">
        <v>207</v>
      </c>
    </row>
    <row r="32" spans="1:11" ht="12.75">
      <c r="A32" s="25"/>
      <c r="B32" s="21" t="s">
        <v>180</v>
      </c>
      <c r="C32" s="25"/>
      <c r="D32" s="21" t="s">
        <v>185</v>
      </c>
      <c r="E32" s="25"/>
      <c r="F32" s="21" t="s">
        <v>191</v>
      </c>
      <c r="G32" s="21" t="s">
        <v>194</v>
      </c>
      <c r="H32" s="21" t="s">
        <v>197</v>
      </c>
      <c r="I32" s="21" t="s">
        <v>191</v>
      </c>
      <c r="J32" s="21" t="s">
        <v>204</v>
      </c>
      <c r="K32" s="20" t="s">
        <v>208</v>
      </c>
    </row>
    <row r="33" spans="1:11" ht="12.75">
      <c r="A33" s="25"/>
      <c r="B33" s="21" t="s">
        <v>181</v>
      </c>
      <c r="C33" s="25"/>
      <c r="D33" s="25"/>
      <c r="E33" s="25"/>
      <c r="F33" s="25"/>
      <c r="G33" s="21"/>
      <c r="H33" s="21"/>
      <c r="I33" s="21"/>
      <c r="J33" s="21" t="s">
        <v>205</v>
      </c>
      <c r="K33" s="20"/>
    </row>
    <row r="34" spans="1:11" ht="12.75">
      <c r="A34" s="27">
        <v>1</v>
      </c>
      <c r="B34" s="27">
        <v>2</v>
      </c>
      <c r="C34" s="27">
        <v>3</v>
      </c>
      <c r="D34" s="27">
        <v>4</v>
      </c>
      <c r="E34" s="27">
        <v>5</v>
      </c>
      <c r="F34" s="27">
        <v>6</v>
      </c>
      <c r="G34" s="27">
        <v>7</v>
      </c>
      <c r="H34" s="27">
        <v>8</v>
      </c>
      <c r="I34" s="27">
        <v>9</v>
      </c>
      <c r="J34" s="27">
        <v>10</v>
      </c>
      <c r="K34" s="28">
        <v>11</v>
      </c>
    </row>
    <row r="35" spans="3:27" ht="15.75">
      <c r="C35" s="29" t="s">
        <v>209</v>
      </c>
      <c r="D35" s="54" t="s">
        <v>11</v>
      </c>
      <c r="E35" s="55"/>
      <c r="F35" s="55"/>
      <c r="G35" s="55"/>
      <c r="H35" s="55"/>
      <c r="I35" s="55"/>
      <c r="J35" s="55"/>
      <c r="K35" s="55"/>
      <c r="AA35" s="30" t="str">
        <f>IF(Source!C12="1",Source!F24,Source!G24)</f>
        <v>Электроснабжение системы вентиляции оперблоков</v>
      </c>
    </row>
    <row r="37" spans="1:11" ht="12.75">
      <c r="A37" s="31" t="str">
        <f>Source!E28</f>
        <v>1</v>
      </c>
      <c r="B37" s="31" t="str">
        <f>Source!F28</f>
        <v>67-3-1</v>
      </c>
      <c r="C37" s="14" t="str">
        <f>Source!G28</f>
        <v>Демонтаж кабеля</v>
      </c>
      <c r="D37" s="32" t="str">
        <f>Source!H28</f>
        <v>100 м</v>
      </c>
      <c r="E37" s="6">
        <f>ROUND(Source!I28,6)</f>
        <v>0.26</v>
      </c>
      <c r="F37" s="6"/>
      <c r="G37" s="6"/>
      <c r="H37" s="6"/>
      <c r="I37" s="6"/>
      <c r="J37" s="33" t="str">
        <f>Source!BO28</f>
        <v>67-3-1</v>
      </c>
      <c r="K37" s="6"/>
    </row>
    <row r="38" spans="1:11" ht="12.75">
      <c r="A38" s="6"/>
      <c r="B38" s="6"/>
      <c r="C38" s="6" t="s">
        <v>210</v>
      </c>
      <c r="D38" s="6"/>
      <c r="E38" s="6"/>
      <c r="F38" s="17">
        <f>Source!AO28</f>
        <v>75.19</v>
      </c>
      <c r="G38" s="33">
        <f>Source!DG28</f>
      </c>
      <c r="H38" s="6"/>
      <c r="I38" s="17">
        <f>ROUND((Source!CT28/IF(Source!BA28&lt;&gt;0,Source!BA28,1)*Source!I28),2)</f>
        <v>19.55</v>
      </c>
      <c r="J38" s="6">
        <f>Source!BA28</f>
        <v>22.88</v>
      </c>
      <c r="K38" s="17">
        <f>Source!S28</f>
        <v>447.29</v>
      </c>
    </row>
    <row r="39" spans="1:11" ht="12.75">
      <c r="A39" s="6"/>
      <c r="B39" s="6"/>
      <c r="C39" s="6" t="s">
        <v>211</v>
      </c>
      <c r="D39" s="6"/>
      <c r="E39" s="6"/>
      <c r="F39" s="17">
        <f>Source!AM28</f>
        <v>0.31</v>
      </c>
      <c r="G39" s="33">
        <f>Source!DE28</f>
      </c>
      <c r="H39" s="6"/>
      <c r="I39" s="17">
        <f>ROUND((Source!CR28/IF(Source!BB28&lt;&gt;0,Source!BB28,1)*Source!I28),2)</f>
        <v>0.08</v>
      </c>
      <c r="J39" s="6">
        <f>Source!BB28</f>
        <v>11.55</v>
      </c>
      <c r="K39" s="17">
        <f>Source!Q28</f>
        <v>0.93</v>
      </c>
    </row>
    <row r="40" spans="1:12" ht="12.75">
      <c r="A40" s="6"/>
      <c r="B40" s="6"/>
      <c r="C40" s="6" t="s">
        <v>212</v>
      </c>
      <c r="D40" s="6"/>
      <c r="E40" s="6"/>
      <c r="F40" s="6">
        <f>Source!AN28</f>
        <v>0.14</v>
      </c>
      <c r="G40" s="33">
        <f>Source!DF28</f>
      </c>
      <c r="H40" s="6"/>
      <c r="I40" s="36" t="str">
        <f>CONCATENATE("(",TEXT(+ROUND((Source!CS28/IF(J40&lt;&gt;0,J40,1)*Source!I28),2),"0,00"),")")</f>
        <v>(0,04)</v>
      </c>
      <c r="J40" s="6">
        <f>Source!BS28</f>
        <v>22.88</v>
      </c>
      <c r="K40" s="35" t="str">
        <f>CONCATENATE("(",TEXT(+Source!R28,"0,00"),")")</f>
        <v>(0,83)</v>
      </c>
      <c r="L40">
        <f>IF(J40&lt;&gt;0,Source!R28/J40,Source!R28)</f>
        <v>0.036276223776223776</v>
      </c>
    </row>
    <row r="41" spans="1:11" ht="12.75">
      <c r="A41" s="6"/>
      <c r="B41" s="6"/>
      <c r="C41" s="6" t="str">
        <f>CONCATENATE("НР от ФОТ  (к тек. уровню цен ",Source!FV28,")")</f>
        <v>НР от ФОТ  (к тек. уровню цен ((*0.85)))</v>
      </c>
      <c r="D41" s="6" t="s">
        <v>213</v>
      </c>
      <c r="E41" s="6">
        <f>Source!BZ28</f>
        <v>85</v>
      </c>
      <c r="F41" s="6"/>
      <c r="G41" s="6"/>
      <c r="H41" s="6"/>
      <c r="I41" s="17">
        <f>ROUND((Source!FX28/100)*(ROUND((Source!CT28/IF(Source!BA28&lt;&gt;0,Source!BA28,1)*Source!I28),2)+ROUND((Source!CS28/IF(Source!BS28&lt;&gt;0,Source!BS28,1)*Source!I28),2)),2)</f>
        <v>16.65</v>
      </c>
      <c r="J41" s="6">
        <f>Source!AT28</f>
        <v>72</v>
      </c>
      <c r="K41" s="17">
        <f>Source!X28</f>
        <v>322.65</v>
      </c>
    </row>
    <row r="42" spans="1:11" ht="12.75">
      <c r="A42" s="6"/>
      <c r="B42" s="6"/>
      <c r="C42" s="6" t="str">
        <f>CONCATENATE("СП от ФОТ  (к тек. уровню цен ",Source!FW28,")")</f>
        <v>СП от ФОТ  (к тек. уровню цен ((*0.8)))</v>
      </c>
      <c r="D42" s="6" t="s">
        <v>213</v>
      </c>
      <c r="E42" s="6">
        <f>Source!CA28</f>
        <v>65</v>
      </c>
      <c r="F42" s="6"/>
      <c r="G42" s="6"/>
      <c r="H42" s="6"/>
      <c r="I42" s="17">
        <f>ROUND((Source!FY28/100)*(ROUND((Source!CT28/IF(Source!BA28&lt;&gt;0,Source!BA28,1)*Source!I28),2)+ROUND((Source!CS28/IF(Source!BS28&lt;&gt;0,Source!BS28,1)*Source!I28),2)),2)</f>
        <v>12.73</v>
      </c>
      <c r="J42" s="6">
        <f>Source!AU28</f>
        <v>52</v>
      </c>
      <c r="K42" s="17">
        <f>Source!Y28</f>
        <v>233.02</v>
      </c>
    </row>
    <row r="43" spans="1:11" ht="12.75">
      <c r="A43" s="37"/>
      <c r="B43" s="37"/>
      <c r="C43" s="37" t="s">
        <v>214</v>
      </c>
      <c r="D43" s="37" t="s">
        <v>215</v>
      </c>
      <c r="E43" s="37">
        <f>Source!AQ28</f>
        <v>9.64</v>
      </c>
      <c r="F43" s="37"/>
      <c r="G43" s="38">
        <f>Source!DI28</f>
      </c>
      <c r="H43" s="37"/>
      <c r="I43" s="39">
        <f>Source!U28</f>
        <v>2.5064</v>
      </c>
      <c r="J43" s="37"/>
      <c r="K43" s="37"/>
    </row>
    <row r="44" spans="9:13" ht="12.75">
      <c r="I44" s="40">
        <f>ROUND((Source!CT28/IF(Source!BA28&lt;&gt;0,Source!BA28,1)*Source!I28),2)+ROUND((Source!CR28/IF(Source!BB28&lt;&gt;0,Source!BB28,1)*Source!I28),2)+ROUND((Source!CQ28/IF(Source!BC28&lt;&gt;0,Source!BC28,1)*Source!I28),2)+SUM(I41:I42)</f>
        <v>49.01</v>
      </c>
      <c r="J44" s="9"/>
      <c r="K44" s="40">
        <f>Source!O28+SUM(K41:K42)</f>
        <v>1003.89</v>
      </c>
      <c r="L44" s="34">
        <f>ROUND(IF(Source!BA28&lt;&gt;0,Source!S28/Source!BA28,Source!S28),2)</f>
        <v>19.55</v>
      </c>
      <c r="M44" s="34">
        <f>I44</f>
        <v>49.01</v>
      </c>
    </row>
    <row r="45" spans="1:11" ht="36">
      <c r="A45" s="31" t="str">
        <f>Source!E29</f>
        <v>3</v>
      </c>
      <c r="B45" s="31" t="str">
        <f>Source!F29</f>
        <v>м08-02-405-6</v>
      </c>
      <c r="C45" s="14" t="str">
        <f>Source!G29</f>
        <v>Провод по установленным стальным конструкциям и панелям, сечение до 400 мм2</v>
      </c>
      <c r="D45" s="32" t="str">
        <f>Source!H29</f>
        <v>100 м</v>
      </c>
      <c r="E45" s="6">
        <f>ROUND(Source!I29,6)</f>
        <v>0.26</v>
      </c>
      <c r="F45" s="6"/>
      <c r="G45" s="6"/>
      <c r="H45" s="6"/>
      <c r="I45" s="6"/>
      <c r="J45" s="33" t="str">
        <f>Source!BO29</f>
        <v>м08-02-405-6</v>
      </c>
      <c r="K45" s="6"/>
    </row>
    <row r="46" spans="1:11" ht="12.75">
      <c r="A46" s="6"/>
      <c r="B46" s="6"/>
      <c r="C46" s="6" t="s">
        <v>210</v>
      </c>
      <c r="D46" s="6"/>
      <c r="E46" s="6"/>
      <c r="F46" s="17">
        <f>Source!AO29</f>
        <v>574.53</v>
      </c>
      <c r="G46" s="33" t="str">
        <f>Source!DG29</f>
        <v>)*1.35</v>
      </c>
      <c r="H46" s="6"/>
      <c r="I46" s="17">
        <f>ROUND((Source!CT29/IF(Source!BA29&lt;&gt;0,Source!BA29,1)*Source!I29),2)</f>
        <v>201.66</v>
      </c>
      <c r="J46" s="6">
        <f>Source!BA29</f>
        <v>22.88</v>
      </c>
      <c r="K46" s="17">
        <f>Source!S29</f>
        <v>4613.98</v>
      </c>
    </row>
    <row r="47" spans="1:11" ht="12.75">
      <c r="A47" s="6"/>
      <c r="B47" s="6"/>
      <c r="C47" s="6" t="s">
        <v>211</v>
      </c>
      <c r="D47" s="6"/>
      <c r="E47" s="6"/>
      <c r="F47" s="17">
        <f>Source!AM29</f>
        <v>488.75</v>
      </c>
      <c r="G47" s="33" t="str">
        <f>Source!DE29</f>
        <v>)*1.35</v>
      </c>
      <c r="H47" s="6"/>
      <c r="I47" s="17">
        <f>ROUND((Source!CR29/IF(Source!BB29&lt;&gt;0,Source!BB29,1)*Source!I29),2)</f>
        <v>171.55</v>
      </c>
      <c r="J47" s="6">
        <f>Source!BB29</f>
        <v>6.19</v>
      </c>
      <c r="K47" s="17">
        <f>Source!Q29</f>
        <v>1061.9</v>
      </c>
    </row>
    <row r="48" spans="1:12" ht="12.75">
      <c r="A48" s="6"/>
      <c r="B48" s="6"/>
      <c r="C48" s="6" t="s">
        <v>212</v>
      </c>
      <c r="D48" s="6"/>
      <c r="E48" s="6"/>
      <c r="F48" s="6">
        <f>Source!AN29</f>
        <v>26.73</v>
      </c>
      <c r="G48" s="33" t="str">
        <f>Source!DF29</f>
        <v>)*1.35</v>
      </c>
      <c r="H48" s="6"/>
      <c r="I48" s="36" t="str">
        <f>CONCATENATE("(",TEXT(+ROUND((Source!CS29/IF(J48&lt;&gt;0,J48,1)*Source!I29),2),"0,00"),")")</f>
        <v>(9,38)</v>
      </c>
      <c r="J48" s="6">
        <f>Source!BS29</f>
        <v>22.88</v>
      </c>
      <c r="K48" s="35" t="str">
        <f>CONCATENATE("(",TEXT(+Source!R29,"0,00"),")")</f>
        <v>(214,67)</v>
      </c>
      <c r="L48">
        <f>IF(J48&lt;&gt;0,Source!R29/J48,Source!R29)</f>
        <v>9.38243006993007</v>
      </c>
    </row>
    <row r="49" spans="1:11" ht="12.75">
      <c r="A49" s="6"/>
      <c r="B49" s="6"/>
      <c r="C49" s="6" t="s">
        <v>216</v>
      </c>
      <c r="D49" s="6"/>
      <c r="E49" s="6"/>
      <c r="F49" s="17">
        <f>Source!AL29</f>
        <v>127.6</v>
      </c>
      <c r="G49" s="33">
        <f>Source!DD29</f>
      </c>
      <c r="H49" s="6"/>
      <c r="I49" s="17">
        <f>ROUND((Source!CQ29/IF(Source!BC29&lt;&gt;0,Source!BC29,1)*Source!I29),2)</f>
        <v>33.18</v>
      </c>
      <c r="J49" s="6">
        <f>Source!BC29</f>
        <v>5.75</v>
      </c>
      <c r="K49" s="17">
        <f>Source!P29</f>
        <v>190.76</v>
      </c>
    </row>
    <row r="50" spans="1:11" ht="12.75">
      <c r="A50" s="6"/>
      <c r="B50" s="6"/>
      <c r="C50" s="6" t="str">
        <f>CONCATENATE("НР от ФОТ  (к тек. уровню цен ",Source!FV29,")")</f>
        <v>НР от ФОТ  (к тек. уровню цен ((*0.85)))</v>
      </c>
      <c r="D50" s="6" t="s">
        <v>213</v>
      </c>
      <c r="E50" s="6">
        <f>Source!BZ29</f>
        <v>95</v>
      </c>
      <c r="F50" s="6"/>
      <c r="G50" s="6"/>
      <c r="H50" s="6"/>
      <c r="I50" s="17">
        <f>ROUND((Source!FX29/100)*(ROUND((Source!CT29/IF(Source!BA29&lt;&gt;0,Source!BA29,1)*Source!I29),2)+ROUND((Source!CS29/IF(Source!BS29&lt;&gt;0,Source!BS29,1)*Source!I29),2)),2)</f>
        <v>200.49</v>
      </c>
      <c r="J50" s="6">
        <f>Source!AT29</f>
        <v>81</v>
      </c>
      <c r="K50" s="17">
        <f>Source!X29</f>
        <v>3911.21</v>
      </c>
    </row>
    <row r="51" spans="1:11" ht="12.75">
      <c r="A51" s="6"/>
      <c r="B51" s="6"/>
      <c r="C51" s="6" t="str">
        <f>CONCATENATE("СП от ФОТ  (к тек. уровню цен ",Source!FW29,")")</f>
        <v>СП от ФОТ  (к тек. уровню цен ((*0.8)))</v>
      </c>
      <c r="D51" s="6" t="s">
        <v>213</v>
      </c>
      <c r="E51" s="6">
        <f>Source!CA29</f>
        <v>65</v>
      </c>
      <c r="F51" s="6"/>
      <c r="G51" s="6"/>
      <c r="H51" s="6"/>
      <c r="I51" s="17">
        <f>ROUND((Source!FY29/100)*(ROUND((Source!CT29/IF(Source!BA29&lt;&gt;0,Source!BA29,1)*Source!I29),2)+ROUND((Source!CS29/IF(Source!BS29&lt;&gt;0,Source!BS29,1)*Source!I29),2)),2)</f>
        <v>137.18</v>
      </c>
      <c r="J51" s="6">
        <f>Source!AU29</f>
        <v>52</v>
      </c>
      <c r="K51" s="17">
        <f>Source!Y29</f>
        <v>2510.9</v>
      </c>
    </row>
    <row r="52" spans="1:11" ht="12.75">
      <c r="A52" s="37"/>
      <c r="B52" s="37"/>
      <c r="C52" s="37" t="s">
        <v>214</v>
      </c>
      <c r="D52" s="37" t="s">
        <v>215</v>
      </c>
      <c r="E52" s="37">
        <f>Source!AQ29</f>
        <v>61.12</v>
      </c>
      <c r="F52" s="37"/>
      <c r="G52" s="38" t="str">
        <f>Source!DI29</f>
        <v>)*1.35</v>
      </c>
      <c r="H52" s="37"/>
      <c r="I52" s="39">
        <f>Source!U29</f>
        <v>21.453120000000002</v>
      </c>
      <c r="J52" s="37"/>
      <c r="K52" s="37"/>
    </row>
    <row r="53" spans="9:13" ht="12.75">
      <c r="I53" s="40">
        <f>ROUND((Source!CT29/IF(Source!BA29&lt;&gt;0,Source!BA29,1)*Source!I29),2)+ROUND((Source!CR29/IF(Source!BB29&lt;&gt;0,Source!BB29,1)*Source!I29),2)+ROUND((Source!CQ29/IF(Source!BC29&lt;&gt;0,Source!BC29,1)*Source!I29),2)+SUM(I50:I51)</f>
        <v>744.0600000000001</v>
      </c>
      <c r="J53" s="9"/>
      <c r="K53" s="40">
        <f>Source!O29+SUM(K50:K51)</f>
        <v>12288.75</v>
      </c>
      <c r="L53" s="34">
        <f>ROUND(IF(Source!BA29&lt;&gt;0,Source!S29/Source!BA29,Source!S29),2)</f>
        <v>201.66</v>
      </c>
      <c r="M53" s="34">
        <f>I53</f>
        <v>744.0600000000001</v>
      </c>
    </row>
    <row r="54" spans="1:11" ht="84">
      <c r="A54" s="31" t="str">
        <f>Source!E30</f>
        <v>5</v>
      </c>
      <c r="B54" s="31" t="str">
        <f>Source!F30</f>
        <v>501-8621</v>
      </c>
      <c r="C54" s="14" t="str">
        <f>Source!G30</f>
        <v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 ВВГнг(A)-LS 5х70мс(N,PE)</v>
      </c>
      <c r="D54" s="32" t="str">
        <f>Source!H30</f>
        <v>1000 м</v>
      </c>
      <c r="E54" s="6">
        <v>0.0275</v>
      </c>
      <c r="F54" s="6"/>
      <c r="G54" s="6"/>
      <c r="H54" s="6"/>
      <c r="I54" s="6"/>
      <c r="J54" s="33" t="str">
        <f>Source!BO30</f>
        <v>501-8621</v>
      </c>
      <c r="K54" s="6"/>
    </row>
    <row r="55" spans="1:11" ht="12.75">
      <c r="A55" s="37"/>
      <c r="B55" s="37"/>
      <c r="C55" s="37" t="s">
        <v>216</v>
      </c>
      <c r="D55" s="37"/>
      <c r="E55" s="37"/>
      <c r="F55" s="39">
        <f>Source!AL30</f>
        <v>328293.05</v>
      </c>
      <c r="G55" s="38">
        <f>Source!DD30</f>
      </c>
      <c r="H55" s="37"/>
      <c r="I55" s="39">
        <f>ROUND((Source!CQ30/IF(Source!BC30&lt;&gt;0,Source!BC30,1)*Source!I30),2)</f>
        <v>9019.92</v>
      </c>
      <c r="J55" s="37">
        <f>Source!BC30</f>
        <v>4.23</v>
      </c>
      <c r="K55" s="39">
        <f>Source!P30</f>
        <v>38154.25</v>
      </c>
    </row>
    <row r="56" spans="9:13" ht="12.75">
      <c r="I56" s="40">
        <f>ROUND((Source!CT30/IF(Source!BA30&lt;&gt;0,Source!BA30,1)*Source!I30),2)+ROUND((Source!CR30/IF(Source!BB30&lt;&gt;0,Source!BB30,1)*Source!I30),2)+ROUND((Source!CQ30/IF(Source!BC30&lt;&gt;0,Source!BC30,1)*Source!I30),2)</f>
        <v>9019.92</v>
      </c>
      <c r="J56" s="9"/>
      <c r="K56" s="40">
        <f>Source!O30</f>
        <v>38154.25</v>
      </c>
      <c r="L56" s="34">
        <f>ROUND(IF(Source!BA30&lt;&gt;0,Source!S30/Source!BA30,Source!S30),2)</f>
        <v>0</v>
      </c>
      <c r="M56" s="34">
        <f>I56</f>
        <v>9019.92</v>
      </c>
    </row>
    <row r="58" spans="3:12" s="9" customFormat="1" ht="12.75">
      <c r="C58" s="9" t="s">
        <v>217</v>
      </c>
      <c r="H58" s="48">
        <f>SUM(M37:M57)</f>
        <v>9812.99</v>
      </c>
      <c r="I58" s="48"/>
      <c r="J58" s="48">
        <f>ROUND(Source!AB26+Source!AK26+Source!AL26,2)</f>
        <v>51446.89</v>
      </c>
      <c r="K58" s="48"/>
      <c r="L58" s="40">
        <f>SUM(L37:L57)</f>
        <v>230.6287062937063</v>
      </c>
    </row>
    <row r="61" spans="3:12" s="9" customFormat="1" ht="12.75">
      <c r="C61" s="9" t="s">
        <v>218</v>
      </c>
      <c r="H61" s="48">
        <f>H58</f>
        <v>9812.99</v>
      </c>
      <c r="I61" s="48"/>
      <c r="J61" s="48">
        <f>ROUND(Source!O48+Source!X48+Source!Y48,2)</f>
        <v>51446.89</v>
      </c>
      <c r="K61" s="48"/>
      <c r="L61" s="40">
        <f>L58</f>
        <v>230.6287062937063</v>
      </c>
    </row>
    <row r="63" spans="3:11" ht="12.75" hidden="1">
      <c r="C63" s="41" t="s">
        <v>219</v>
      </c>
      <c r="D63" s="49" t="str">
        <f>Source!G64</f>
        <v>№184-22.06.16 В ФЕР Корректировка сметы под сумму(Дмитрий Пожарский)</v>
      </c>
      <c r="E63" s="49"/>
      <c r="F63" s="49"/>
      <c r="G63" s="49"/>
      <c r="H63" s="49"/>
      <c r="I63" s="49"/>
      <c r="J63" s="49"/>
      <c r="K63" s="49"/>
    </row>
    <row r="64" spans="3:11" ht="12.75">
      <c r="C64" s="44" t="str">
        <f>Source!H79</f>
        <v>Всего по смете</v>
      </c>
      <c r="D64" s="44"/>
      <c r="E64" s="44"/>
      <c r="F64" s="44"/>
      <c r="G64" s="44"/>
      <c r="H64" s="44"/>
      <c r="I64" s="44"/>
      <c r="J64" s="45">
        <f>Source!F79</f>
        <v>51446.89</v>
      </c>
      <c r="K64" s="46"/>
    </row>
    <row r="65" spans="3:11" ht="12.75">
      <c r="C65" s="44" t="str">
        <f>Source!H80</f>
        <v>НДС 18%</v>
      </c>
      <c r="D65" s="44"/>
      <c r="E65" s="44"/>
      <c r="F65" s="44"/>
      <c r="G65" s="44"/>
      <c r="H65" s="44"/>
      <c r="I65" s="44"/>
      <c r="J65" s="45">
        <f>Source!F80</f>
        <v>9260.44</v>
      </c>
      <c r="K65" s="46"/>
    </row>
    <row r="66" spans="3:11" ht="12.75">
      <c r="C66" s="44" t="str">
        <f>Source!H81</f>
        <v>Итого с НДС</v>
      </c>
      <c r="D66" s="44"/>
      <c r="E66" s="44"/>
      <c r="F66" s="44"/>
      <c r="G66" s="44"/>
      <c r="H66" s="44"/>
      <c r="I66" s="44"/>
      <c r="J66" s="45">
        <f>Source!F81</f>
        <v>60707.33</v>
      </c>
      <c r="K66" s="46"/>
    </row>
    <row r="69" spans="1:8" ht="12.75">
      <c r="A69" t="s">
        <v>220</v>
      </c>
      <c r="C69" s="42" t="str">
        <f>IF(Source!AO12&lt;&gt;"",Source!AO12," ")</f>
        <v> </v>
      </c>
      <c r="D69" s="42"/>
      <c r="E69" s="42"/>
      <c r="F69" s="42"/>
      <c r="G69" s="42"/>
      <c r="H69" t="str">
        <f>IF(Source!R12&lt;&gt;"",Source!R12," ")</f>
        <v> </v>
      </c>
    </row>
    <row r="70" spans="3:7" s="43" customFormat="1" ht="11.25">
      <c r="C70" s="47" t="s">
        <v>221</v>
      </c>
      <c r="D70" s="47"/>
      <c r="E70" s="47"/>
      <c r="F70" s="47"/>
      <c r="G70" s="47"/>
    </row>
    <row r="72" spans="1:8" ht="12.75">
      <c r="A72" t="s">
        <v>222</v>
      </c>
      <c r="C72" s="42" t="str">
        <f>IF(Source!AP12&lt;&gt;"",Source!AP12," ")</f>
        <v> </v>
      </c>
      <c r="D72" s="42"/>
      <c r="E72" s="42"/>
      <c r="F72" s="42"/>
      <c r="G72" s="42"/>
      <c r="H72" t="str">
        <f>IF(Source!S12&lt;&gt;"",Source!S12," ")</f>
        <v> </v>
      </c>
    </row>
    <row r="73" spans="3:7" s="43" customFormat="1" ht="11.25">
      <c r="C73" s="47" t="s">
        <v>221</v>
      </c>
      <c r="D73" s="47"/>
      <c r="E73" s="47"/>
      <c r="F73" s="47"/>
      <c r="G73" s="47"/>
    </row>
  </sheetData>
  <sheetProtection/>
  <mergeCells count="30">
    <mergeCell ref="F3:I3"/>
    <mergeCell ref="A5:B5"/>
    <mergeCell ref="F5:H5"/>
    <mergeCell ref="C5:D5"/>
    <mergeCell ref="I5:K5"/>
    <mergeCell ref="C7:D7"/>
    <mergeCell ref="H7:K7"/>
    <mergeCell ref="A11:K11"/>
    <mergeCell ref="A12:K12"/>
    <mergeCell ref="A14:K14"/>
    <mergeCell ref="A15:K15"/>
    <mergeCell ref="A17:K17"/>
    <mergeCell ref="B19:K19"/>
    <mergeCell ref="J65:K65"/>
    <mergeCell ref="B20:K20"/>
    <mergeCell ref="A22:K22"/>
    <mergeCell ref="G29:H29"/>
    <mergeCell ref="D35:K35"/>
    <mergeCell ref="J58:K58"/>
    <mergeCell ref="H58:I58"/>
    <mergeCell ref="C66:I66"/>
    <mergeCell ref="J66:K66"/>
    <mergeCell ref="C70:G70"/>
    <mergeCell ref="C73:G73"/>
    <mergeCell ref="J61:K61"/>
    <mergeCell ref="H61:I61"/>
    <mergeCell ref="D63:K63"/>
    <mergeCell ref="C64:I64"/>
    <mergeCell ref="J64:K64"/>
    <mergeCell ref="C65:I65"/>
  </mergeCells>
  <printOptions/>
  <pageMargins left="0.21740157480315" right="0.196850393700787" top="0.293700787401575" bottom="0.393700787401575" header="0.11811023622047198" footer="0.11811023622047198"/>
  <pageSetup horizontalDpi="600" verticalDpi="600" orientation="portrait" paperSize="9" scale="7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GL101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2" spans="1:104" ht="12.75">
      <c r="A12" s="1">
        <v>1</v>
      </c>
      <c r="B12" s="1">
        <v>1</v>
      </c>
      <c r="C12" s="1">
        <v>0</v>
      </c>
      <c r="D12" s="1">
        <f>ROW(A64)</f>
        <v>64</v>
      </c>
      <c r="E12" s="1">
        <v>0</v>
      </c>
      <c r="F12" s="1" t="s">
        <v>0</v>
      </c>
      <c r="G12" s="1" t="s">
        <v>1</v>
      </c>
      <c r="H12" s="1" t="s">
        <v>2</v>
      </c>
      <c r="I12" s="1">
        <v>0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2</v>
      </c>
      <c r="O12" s="1" t="s">
        <v>3</v>
      </c>
      <c r="P12" s="1">
        <v>2015</v>
      </c>
      <c r="Q12" s="1">
        <v>9</v>
      </c>
      <c r="R12" s="1" t="s">
        <v>2</v>
      </c>
      <c r="S12" s="1" t="s">
        <v>2</v>
      </c>
      <c r="T12" s="1" t="s">
        <v>2</v>
      </c>
      <c r="U12" s="1" t="s">
        <v>2</v>
      </c>
      <c r="V12" s="1">
        <v>-3</v>
      </c>
      <c r="W12" s="1" t="s">
        <v>2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2010272250</v>
      </c>
      <c r="AI12" s="1">
        <v>0</v>
      </c>
      <c r="AJ12" s="1">
        <v>0</v>
      </c>
      <c r="AK12" s="1">
        <v>0</v>
      </c>
      <c r="AL12" s="1" t="s">
        <v>2</v>
      </c>
      <c r="AM12" s="1" t="s">
        <v>2</v>
      </c>
      <c r="AN12" s="1">
        <v>0</v>
      </c>
      <c r="AO12" s="1" t="s">
        <v>2</v>
      </c>
      <c r="AP12" s="1" t="s">
        <v>2</v>
      </c>
      <c r="AQ12" s="1" t="s">
        <v>2</v>
      </c>
      <c r="AR12" s="1" t="s">
        <v>2</v>
      </c>
      <c r="AS12" s="1" t="s">
        <v>2</v>
      </c>
      <c r="AT12" s="1" t="s">
        <v>2</v>
      </c>
      <c r="AU12" s="1" t="s">
        <v>2</v>
      </c>
      <c r="AV12" s="1" t="s">
        <v>2</v>
      </c>
      <c r="AW12" s="1" t="s">
        <v>2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17871980</v>
      </c>
      <c r="BE12" s="1" t="s">
        <v>4</v>
      </c>
      <c r="BF12" s="1" t="s">
        <v>5</v>
      </c>
      <c r="BG12" s="1">
        <v>14794766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 t="s">
        <v>2</v>
      </c>
      <c r="CH12" s="1" t="s">
        <v>2</v>
      </c>
      <c r="CI12" s="1" t="s">
        <v>2</v>
      </c>
      <c r="CJ12" s="1">
        <v>0</v>
      </c>
      <c r="CK12" s="1">
        <v>2410077</v>
      </c>
      <c r="CL12" s="1" t="s">
        <v>6</v>
      </c>
      <c r="CM12" s="1" t="s">
        <v>7</v>
      </c>
      <c r="CN12" s="1" t="s">
        <v>2</v>
      </c>
      <c r="CO12" s="1" t="s">
        <v>2</v>
      </c>
      <c r="CP12" s="1" t="s">
        <v>2</v>
      </c>
      <c r="CQ12" s="1" t="s">
        <v>2</v>
      </c>
      <c r="CR12" s="1" t="s">
        <v>2</v>
      </c>
      <c r="CS12" s="1">
        <v>0</v>
      </c>
      <c r="CT12" s="1">
        <v>0</v>
      </c>
      <c r="CU12" s="1">
        <v>0</v>
      </c>
      <c r="CV12" s="1">
        <v>2269002</v>
      </c>
      <c r="CW12" s="1">
        <v>13901663</v>
      </c>
      <c r="CX12" s="1">
        <v>17755016</v>
      </c>
      <c r="CY12" s="1">
        <v>8</v>
      </c>
      <c r="CZ12" s="1" t="s">
        <v>2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B64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№184-22.06.16 В ФЕР Корректировка сметы под сумму(Дмитрий Пожарский)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44469.11</v>
      </c>
      <c r="P18" s="2">
        <f t="shared" si="0"/>
        <v>38345.01</v>
      </c>
      <c r="Q18" s="2">
        <f t="shared" si="0"/>
        <v>1062.83</v>
      </c>
      <c r="R18" s="2">
        <f t="shared" si="0"/>
        <v>215.5</v>
      </c>
      <c r="S18" s="2">
        <f t="shared" si="0"/>
        <v>5061.27</v>
      </c>
      <c r="T18" s="2">
        <f t="shared" si="0"/>
        <v>0</v>
      </c>
      <c r="U18" s="2">
        <f t="shared" si="0"/>
        <v>23.96</v>
      </c>
      <c r="V18" s="2">
        <f t="shared" si="0"/>
        <v>0.7</v>
      </c>
      <c r="W18" s="2">
        <f t="shared" si="0"/>
        <v>15.01</v>
      </c>
      <c r="X18" s="2">
        <f t="shared" si="0"/>
        <v>4233.86</v>
      </c>
      <c r="Y18" s="2">
        <f t="shared" si="0"/>
        <v>2743.92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ROW(A48)</f>
        <v>48</v>
      </c>
      <c r="E20" s="1"/>
      <c r="F20" s="1" t="s">
        <v>8</v>
      </c>
      <c r="G20" s="1" t="s">
        <v>8</v>
      </c>
      <c r="H20" s="1"/>
      <c r="I20" s="1"/>
      <c r="J20" s="1" t="s">
        <v>2</v>
      </c>
      <c r="K20" s="1"/>
      <c r="L20" s="1"/>
      <c r="M20" s="1"/>
      <c r="N20" s="1" t="s">
        <v>2</v>
      </c>
      <c r="O20" s="1"/>
      <c r="P20" s="1"/>
      <c r="Q20" s="1"/>
      <c r="R20" s="1" t="s">
        <v>2</v>
      </c>
      <c r="S20" s="1" t="s">
        <v>2</v>
      </c>
      <c r="T20" s="1" t="s">
        <v>2</v>
      </c>
      <c r="U20" s="1" t="s">
        <v>2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2</v>
      </c>
      <c r="AP20" s="1" t="s">
        <v>2</v>
      </c>
      <c r="AQ20" s="1" t="s">
        <v>2</v>
      </c>
      <c r="AR20" s="1"/>
      <c r="AS20" s="1"/>
      <c r="AT20" s="1" t="s">
        <v>2</v>
      </c>
      <c r="AU20" s="1" t="s">
        <v>2</v>
      </c>
      <c r="AV20" s="1" t="s">
        <v>2</v>
      </c>
      <c r="AW20" s="1" t="s">
        <v>2</v>
      </c>
      <c r="AX20" s="1" t="s">
        <v>2</v>
      </c>
      <c r="AY20" s="1" t="s">
        <v>2</v>
      </c>
      <c r="AZ20" s="1" t="s">
        <v>2</v>
      </c>
      <c r="BA20" s="1" t="s">
        <v>2</v>
      </c>
      <c r="BB20" s="1" t="s">
        <v>2</v>
      </c>
      <c r="BC20" s="1" t="s">
        <v>2</v>
      </c>
      <c r="BD20" s="1" t="s">
        <v>2</v>
      </c>
      <c r="BE20" s="1" t="s">
        <v>9</v>
      </c>
      <c r="BF20" s="1">
        <v>0</v>
      </c>
      <c r="BG20" s="1">
        <v>0</v>
      </c>
      <c r="BH20" s="1" t="s">
        <v>2</v>
      </c>
      <c r="BI20" s="1" t="s">
        <v>2</v>
      </c>
      <c r="BJ20" s="1" t="s">
        <v>2</v>
      </c>
      <c r="BK20" s="1" t="s">
        <v>2</v>
      </c>
      <c r="BL20" s="1" t="s">
        <v>2</v>
      </c>
      <c r="BM20" s="1">
        <v>0</v>
      </c>
      <c r="BN20" s="1" t="s">
        <v>2</v>
      </c>
      <c r="BO20" s="1" t="s">
        <v>2</v>
      </c>
    </row>
    <row r="22" spans="1:43" ht="12.75">
      <c r="A22" s="2">
        <v>52</v>
      </c>
      <c r="B22" s="2">
        <f aca="true" t="shared" si="1" ref="B22:AQ22">B48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44469.11</v>
      </c>
      <c r="P22" s="2">
        <f t="shared" si="1"/>
        <v>38345.01</v>
      </c>
      <c r="Q22" s="2">
        <f t="shared" si="1"/>
        <v>1062.83</v>
      </c>
      <c r="R22" s="2">
        <f t="shared" si="1"/>
        <v>215.5</v>
      </c>
      <c r="S22" s="2">
        <f t="shared" si="1"/>
        <v>5061.27</v>
      </c>
      <c r="T22" s="2">
        <f t="shared" si="1"/>
        <v>0</v>
      </c>
      <c r="U22" s="2">
        <f t="shared" si="1"/>
        <v>23.96</v>
      </c>
      <c r="V22" s="2">
        <f t="shared" si="1"/>
        <v>0.7</v>
      </c>
      <c r="W22" s="2">
        <f t="shared" si="1"/>
        <v>15.01</v>
      </c>
      <c r="X22" s="2">
        <f t="shared" si="1"/>
        <v>4233.86</v>
      </c>
      <c r="Y22" s="2">
        <f t="shared" si="1"/>
        <v>2743.92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ROW(A32)</f>
        <v>32</v>
      </c>
      <c r="E24" s="1"/>
      <c r="F24" s="1" t="s">
        <v>10</v>
      </c>
      <c r="G24" s="1" t="s">
        <v>11</v>
      </c>
      <c r="H24" s="1"/>
      <c r="I24" s="1"/>
      <c r="J24" s="1"/>
      <c r="K24" s="1"/>
      <c r="L24" s="1"/>
      <c r="M24" s="1"/>
      <c r="N24" s="1" t="s">
        <v>2</v>
      </c>
      <c r="O24" s="1"/>
      <c r="P24" s="1"/>
      <c r="Q24" s="1"/>
      <c r="R24" s="1" t="s">
        <v>2</v>
      </c>
      <c r="S24" s="1" t="s">
        <v>2</v>
      </c>
      <c r="T24" s="1" t="s">
        <v>2</v>
      </c>
      <c r="U24" s="1" t="s">
        <v>2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2</v>
      </c>
      <c r="AP24" s="1" t="s">
        <v>2</v>
      </c>
      <c r="AQ24" s="1" t="s">
        <v>2</v>
      </c>
      <c r="AR24" s="1"/>
      <c r="AS24" s="1"/>
      <c r="AT24" s="1" t="s">
        <v>2</v>
      </c>
      <c r="AU24" s="1" t="s">
        <v>2</v>
      </c>
      <c r="AV24" s="1" t="s">
        <v>2</v>
      </c>
      <c r="AW24" s="1" t="s">
        <v>2</v>
      </c>
      <c r="AX24" s="1" t="s">
        <v>2</v>
      </c>
      <c r="AY24" s="1" t="s">
        <v>2</v>
      </c>
      <c r="AZ24" s="1" t="s">
        <v>2</v>
      </c>
      <c r="BA24" s="1" t="s">
        <v>2</v>
      </c>
      <c r="BB24" s="1" t="s">
        <v>2</v>
      </c>
      <c r="BC24" s="1" t="s">
        <v>2</v>
      </c>
      <c r="BD24" s="1" t="s">
        <v>2</v>
      </c>
      <c r="BE24" s="1" t="s">
        <v>12</v>
      </c>
      <c r="BF24" s="1">
        <v>0</v>
      </c>
      <c r="BG24" s="1">
        <v>0</v>
      </c>
      <c r="BH24" s="1" t="s">
        <v>2</v>
      </c>
      <c r="BI24" s="1" t="s">
        <v>2</v>
      </c>
      <c r="BJ24" s="1" t="s">
        <v>2</v>
      </c>
      <c r="BK24" s="1" t="s">
        <v>2</v>
      </c>
      <c r="BL24" s="1" t="s">
        <v>2</v>
      </c>
      <c r="BM24" s="1">
        <v>0</v>
      </c>
      <c r="BN24" s="1" t="s">
        <v>2</v>
      </c>
      <c r="BO24" s="1">
        <v>0</v>
      </c>
    </row>
    <row r="26" spans="1:43" ht="12.75">
      <c r="A26" s="2">
        <v>52</v>
      </c>
      <c r="B26" s="2">
        <f aca="true" t="shared" si="2" ref="B26:AQ26">B32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Электроснабжение системы вентиляции оперблоков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44469.11</v>
      </c>
      <c r="P26" s="2">
        <f t="shared" si="2"/>
        <v>38345.01</v>
      </c>
      <c r="Q26" s="2">
        <f t="shared" si="2"/>
        <v>1062.83</v>
      </c>
      <c r="R26" s="2">
        <f t="shared" si="2"/>
        <v>215.5</v>
      </c>
      <c r="S26" s="2">
        <f t="shared" si="2"/>
        <v>5061.27</v>
      </c>
      <c r="T26" s="2">
        <f t="shared" si="2"/>
        <v>0</v>
      </c>
      <c r="U26" s="2">
        <f t="shared" si="2"/>
        <v>23.96</v>
      </c>
      <c r="V26" s="2">
        <f t="shared" si="2"/>
        <v>0.7</v>
      </c>
      <c r="W26" s="2">
        <f t="shared" si="2"/>
        <v>15.01</v>
      </c>
      <c r="X26" s="2">
        <f t="shared" si="2"/>
        <v>4233.86</v>
      </c>
      <c r="Y26" s="2">
        <f t="shared" si="2"/>
        <v>2743.92</v>
      </c>
      <c r="Z26" s="2">
        <f t="shared" si="2"/>
        <v>0</v>
      </c>
      <c r="AA26" s="2">
        <f t="shared" si="2"/>
        <v>0</v>
      </c>
      <c r="AB26" s="2">
        <f t="shared" si="2"/>
        <v>44469.11</v>
      </c>
      <c r="AC26" s="2">
        <f t="shared" si="2"/>
        <v>38345.01</v>
      </c>
      <c r="AD26" s="2">
        <f t="shared" si="2"/>
        <v>1062.83</v>
      </c>
      <c r="AE26" s="2">
        <f t="shared" si="2"/>
        <v>215.5</v>
      </c>
      <c r="AF26" s="2">
        <f t="shared" si="2"/>
        <v>5061.27</v>
      </c>
      <c r="AG26" s="2">
        <f t="shared" si="2"/>
        <v>0</v>
      </c>
      <c r="AH26" s="2">
        <f t="shared" si="2"/>
        <v>23.96</v>
      </c>
      <c r="AI26" s="2">
        <f t="shared" si="2"/>
        <v>0.7</v>
      </c>
      <c r="AJ26" s="2">
        <f t="shared" si="2"/>
        <v>15.01</v>
      </c>
      <c r="AK26" s="2">
        <f t="shared" si="2"/>
        <v>4233.86</v>
      </c>
      <c r="AL26" s="2">
        <f t="shared" si="2"/>
        <v>2743.92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94" ht="12.75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13</v>
      </c>
      <c r="F28" t="s">
        <v>14</v>
      </c>
      <c r="G28" t="s">
        <v>15</v>
      </c>
      <c r="H28" t="s">
        <v>16</v>
      </c>
      <c r="I28">
        <v>0.26</v>
      </c>
      <c r="J28">
        <v>0</v>
      </c>
      <c r="O28">
        <f>ROUND(CP28,2)</f>
        <v>448.22</v>
      </c>
      <c r="P28">
        <f>ROUND(CQ28*I28,2)</f>
        <v>0</v>
      </c>
      <c r="Q28">
        <f>ROUND(CR28*I28,2)</f>
        <v>0.93</v>
      </c>
      <c r="R28">
        <f>ROUND(CS28*I28,2)</f>
        <v>0.83</v>
      </c>
      <c r="S28">
        <f>ROUND(CT28*I28,2)</f>
        <v>447.29</v>
      </c>
      <c r="T28">
        <f>ROUND(CU28*I28,2)</f>
        <v>0</v>
      </c>
      <c r="U28">
        <f>CV28*I28</f>
        <v>2.5064</v>
      </c>
      <c r="V28">
        <f>CW28*I28</f>
        <v>0.0026000000000000003</v>
      </c>
      <c r="W28">
        <f>ROUND(CX28*I28,2)</f>
        <v>0</v>
      </c>
      <c r="X28">
        <f aca="true" t="shared" si="3" ref="X28:Y30">ROUND(CY28,2)</f>
        <v>322.65</v>
      </c>
      <c r="Y28">
        <f t="shared" si="3"/>
        <v>233.02</v>
      </c>
      <c r="AA28">
        <v>0</v>
      </c>
      <c r="AB28">
        <f>(AC28+AD28+AF28)</f>
        <v>75.5</v>
      </c>
      <c r="AC28">
        <f>(ES28)</f>
        <v>0</v>
      </c>
      <c r="AD28">
        <f>(ET28)</f>
        <v>0.31</v>
      </c>
      <c r="AE28">
        <f>(EU28)</f>
        <v>0.14</v>
      </c>
      <c r="AF28">
        <f>(EV28)</f>
        <v>75.19</v>
      </c>
      <c r="AG28">
        <f>(AP28)</f>
        <v>0</v>
      </c>
      <c r="AH28">
        <f>(EW28)</f>
        <v>9.64</v>
      </c>
      <c r="AI28">
        <f>(EX28)</f>
        <v>0.01</v>
      </c>
      <c r="AJ28">
        <f>(AS28)</f>
        <v>0</v>
      </c>
      <c r="AK28">
        <v>75.5</v>
      </c>
      <c r="AL28">
        <v>0</v>
      </c>
      <c r="AM28">
        <v>0.31</v>
      </c>
      <c r="AN28">
        <v>0.14</v>
      </c>
      <c r="AO28">
        <v>75.19</v>
      </c>
      <c r="AP28">
        <v>0</v>
      </c>
      <c r="AQ28">
        <v>9.64</v>
      </c>
      <c r="AR28">
        <v>0.01</v>
      </c>
      <c r="AS28">
        <v>0</v>
      </c>
      <c r="AT28">
        <v>72</v>
      </c>
      <c r="AU28">
        <v>52</v>
      </c>
      <c r="AV28">
        <v>1</v>
      </c>
      <c r="AW28">
        <v>1</v>
      </c>
      <c r="AX28">
        <v>1</v>
      </c>
      <c r="AY28">
        <v>1</v>
      </c>
      <c r="AZ28">
        <v>22.83</v>
      </c>
      <c r="BA28">
        <v>22.88</v>
      </c>
      <c r="BB28">
        <v>11.55</v>
      </c>
      <c r="BC28">
        <v>1</v>
      </c>
      <c r="BH28">
        <v>0</v>
      </c>
      <c r="BI28">
        <v>1</v>
      </c>
      <c r="BJ28" t="s">
        <v>17</v>
      </c>
      <c r="BM28">
        <v>67001</v>
      </c>
      <c r="BN28">
        <v>0</v>
      </c>
      <c r="BO28" t="s">
        <v>14</v>
      </c>
      <c r="BP28">
        <v>1</v>
      </c>
      <c r="BQ28">
        <v>6</v>
      </c>
      <c r="BR28">
        <v>0</v>
      </c>
      <c r="BS28">
        <v>22.88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>(P28+Q28+S28)</f>
        <v>448.22</v>
      </c>
      <c r="CQ28">
        <f>(AC28)*BC28</f>
        <v>0</v>
      </c>
      <c r="CR28">
        <f>(AD28)*BB28</f>
        <v>3.5805000000000002</v>
      </c>
      <c r="CS28">
        <f>(AE28)*BS28</f>
        <v>3.2032000000000003</v>
      </c>
      <c r="CT28">
        <f>(AF28)*BA28</f>
        <v>1720.3472</v>
      </c>
      <c r="CU28">
        <f aca="true" t="shared" si="4" ref="CU28:CX30">(AG28)*BT28</f>
        <v>0</v>
      </c>
      <c r="CV28">
        <f t="shared" si="4"/>
        <v>9.64</v>
      </c>
      <c r="CW28">
        <f t="shared" si="4"/>
        <v>0.01</v>
      </c>
      <c r="CX28">
        <f t="shared" si="4"/>
        <v>0</v>
      </c>
      <c r="CY28">
        <f>((S28+R28)*(ROUND((FX28*IF(1,(IF(0,0.94,0.85)*IF(0,0.85,1)),1)),IF(1,0,2))/100))</f>
        <v>322.64639999999997</v>
      </c>
      <c r="CZ28">
        <f>((S28+R28)*(ROUND((FY28*IF(1,0.8,1)),IF(1,0,2))/100))</f>
        <v>233.0224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16</v>
      </c>
      <c r="DW28" t="s">
        <v>16</v>
      </c>
      <c r="DX28">
        <v>100</v>
      </c>
      <c r="EE28">
        <v>14795009</v>
      </c>
      <c r="EF28">
        <v>6</v>
      </c>
      <c r="EG28" t="s">
        <v>18</v>
      </c>
      <c r="EH28">
        <v>0</v>
      </c>
      <c r="EJ28">
        <v>1</v>
      </c>
      <c r="EK28">
        <v>67001</v>
      </c>
      <c r="EL28" t="s">
        <v>19</v>
      </c>
      <c r="EM28" t="s">
        <v>20</v>
      </c>
      <c r="EQ28">
        <v>0</v>
      </c>
      <c r="ER28">
        <v>75.5</v>
      </c>
      <c r="ES28">
        <v>0</v>
      </c>
      <c r="ET28">
        <v>0.31</v>
      </c>
      <c r="EU28">
        <v>0.14</v>
      </c>
      <c r="EV28">
        <v>75.19</v>
      </c>
      <c r="EW28">
        <v>9.64</v>
      </c>
      <c r="EX28">
        <v>0.01</v>
      </c>
      <c r="EY28">
        <v>0</v>
      </c>
      <c r="EZ28">
        <v>0</v>
      </c>
      <c r="FQ28">
        <v>0</v>
      </c>
      <c r="FR28">
        <f>ROUND(IF(AND(AA28=0,BI28=3),P28,0),2)</f>
        <v>0</v>
      </c>
      <c r="FS28">
        <v>0</v>
      </c>
      <c r="FV28" t="s">
        <v>21</v>
      </c>
      <c r="FW28" t="s">
        <v>22</v>
      </c>
      <c r="FX28">
        <v>85</v>
      </c>
      <c r="FY28">
        <v>65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1</v>
      </c>
      <c r="GL28">
        <v>0</v>
      </c>
    </row>
    <row r="29" spans="1:194" ht="12.75">
      <c r="A29">
        <v>17</v>
      </c>
      <c r="B29">
        <v>1</v>
      </c>
      <c r="C29">
        <f>ROW(SmtRes!A16)</f>
        <v>16</v>
      </c>
      <c r="D29">
        <f>ROW(EtalonRes!A14)</f>
        <v>14</v>
      </c>
      <c r="E29" t="s">
        <v>23</v>
      </c>
      <c r="F29" t="s">
        <v>24</v>
      </c>
      <c r="G29" t="s">
        <v>25</v>
      </c>
      <c r="H29" t="s">
        <v>16</v>
      </c>
      <c r="I29">
        <v>0.26</v>
      </c>
      <c r="J29">
        <v>0</v>
      </c>
      <c r="O29">
        <f>ROUND(CP29,2)</f>
        <v>5866.64</v>
      </c>
      <c r="P29">
        <f>ROUND(CQ29*I29,2)</f>
        <v>190.76</v>
      </c>
      <c r="Q29">
        <f>ROUND(CR29*I29,2)</f>
        <v>1061.9</v>
      </c>
      <c r="R29">
        <f>ROUND(CS29*I29,2)</f>
        <v>214.67</v>
      </c>
      <c r="S29">
        <f>ROUND(CT29*I29,2)</f>
        <v>4613.98</v>
      </c>
      <c r="T29">
        <f>ROUND(CU29*I29,2)</f>
        <v>0</v>
      </c>
      <c r="U29">
        <f>CV29*I29</f>
        <v>21.453120000000002</v>
      </c>
      <c r="V29">
        <f>CW29*I29</f>
        <v>0.69498</v>
      </c>
      <c r="W29">
        <f>ROUND(CX29*I29,2)</f>
        <v>0</v>
      </c>
      <c r="X29">
        <f t="shared" si="3"/>
        <v>3911.21</v>
      </c>
      <c r="Y29">
        <f t="shared" si="3"/>
        <v>2510.9</v>
      </c>
      <c r="AA29">
        <v>0</v>
      </c>
      <c r="AB29">
        <f>(AC29+AD29+AF29)</f>
        <v>1563.028</v>
      </c>
      <c r="AC29">
        <f>(ES29)</f>
        <v>127.6</v>
      </c>
      <c r="AD29">
        <f>((ET29*1.35))</f>
        <v>659.8125</v>
      </c>
      <c r="AE29">
        <f>((EU29*1.35))</f>
        <v>36.0855</v>
      </c>
      <c r="AF29">
        <f>((EV29*1.35))</f>
        <v>775.6155</v>
      </c>
      <c r="AG29">
        <f>(AP29)</f>
        <v>0</v>
      </c>
      <c r="AH29">
        <f>((EW29*1.35))</f>
        <v>82.512</v>
      </c>
      <c r="AI29">
        <f>((EX29*1.35))</f>
        <v>2.673</v>
      </c>
      <c r="AJ29">
        <f>(AS29)</f>
        <v>0</v>
      </c>
      <c r="AK29">
        <v>1190.88</v>
      </c>
      <c r="AL29">
        <v>127.6</v>
      </c>
      <c r="AM29">
        <v>488.75</v>
      </c>
      <c r="AN29">
        <v>26.73</v>
      </c>
      <c r="AO29">
        <v>574.53</v>
      </c>
      <c r="AP29">
        <v>0</v>
      </c>
      <c r="AQ29">
        <v>61.12</v>
      </c>
      <c r="AR29">
        <v>1.98</v>
      </c>
      <c r="AS29">
        <v>0</v>
      </c>
      <c r="AT29">
        <v>81</v>
      </c>
      <c r="AU29">
        <v>52</v>
      </c>
      <c r="AV29">
        <v>1</v>
      </c>
      <c r="AW29">
        <v>1</v>
      </c>
      <c r="AX29">
        <v>1</v>
      </c>
      <c r="AY29">
        <v>1</v>
      </c>
      <c r="AZ29">
        <v>14.19</v>
      </c>
      <c r="BA29">
        <v>22.88</v>
      </c>
      <c r="BB29">
        <v>6.19</v>
      </c>
      <c r="BC29">
        <v>5.75</v>
      </c>
      <c r="BH29">
        <v>0</v>
      </c>
      <c r="BI29">
        <v>2</v>
      </c>
      <c r="BJ29" t="s">
        <v>26</v>
      </c>
      <c r="BM29">
        <v>108001</v>
      </c>
      <c r="BN29">
        <v>0</v>
      </c>
      <c r="BO29" t="s">
        <v>24</v>
      </c>
      <c r="BP29">
        <v>1</v>
      </c>
      <c r="BQ29">
        <v>3</v>
      </c>
      <c r="BR29">
        <v>0</v>
      </c>
      <c r="BS29">
        <v>22.88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>(P29+Q29+S29)</f>
        <v>5866.639999999999</v>
      </c>
      <c r="CQ29">
        <f>(AC29)*BC29</f>
        <v>733.6999999999999</v>
      </c>
      <c r="CR29">
        <f>(AD29)*BB29</f>
        <v>4084.239375</v>
      </c>
      <c r="CS29">
        <f>(AE29)*BS29</f>
        <v>825.63624</v>
      </c>
      <c r="CT29">
        <f>(AF29)*BA29</f>
        <v>17746.08264</v>
      </c>
      <c r="CU29">
        <f t="shared" si="4"/>
        <v>0</v>
      </c>
      <c r="CV29">
        <f t="shared" si="4"/>
        <v>82.512</v>
      </c>
      <c r="CW29">
        <f t="shared" si="4"/>
        <v>2.673</v>
      </c>
      <c r="CX29">
        <f t="shared" si="4"/>
        <v>0</v>
      </c>
      <c r="CY29">
        <f>((S29+R29)*(ROUND((FX29*IF(1,(IF(0,0.94,0.85)*IF(0,0.85,1)),1)),IF(1,0,2))/100))</f>
        <v>3911.2065</v>
      </c>
      <c r="CZ29">
        <f>((S29+R29)*(ROUND((FY29*IF(1,0.8,1)),IF(1,0,2))/100))</f>
        <v>2510.8979999999997</v>
      </c>
      <c r="DE29" t="s">
        <v>27</v>
      </c>
      <c r="DF29" t="s">
        <v>27</v>
      </c>
      <c r="DG29" t="s">
        <v>27</v>
      </c>
      <c r="DI29" t="s">
        <v>27</v>
      </c>
      <c r="DJ29" t="s">
        <v>27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16</v>
      </c>
      <c r="DW29" t="s">
        <v>16</v>
      </c>
      <c r="DX29">
        <v>100</v>
      </c>
      <c r="EE29">
        <v>14795020</v>
      </c>
      <c r="EF29">
        <v>3</v>
      </c>
      <c r="EG29" t="s">
        <v>28</v>
      </c>
      <c r="EH29">
        <v>0</v>
      </c>
      <c r="EJ29">
        <v>2</v>
      </c>
      <c r="EK29">
        <v>108001</v>
      </c>
      <c r="EL29" t="s">
        <v>29</v>
      </c>
      <c r="EM29" t="s">
        <v>30</v>
      </c>
      <c r="EQ29">
        <v>0</v>
      </c>
      <c r="ER29">
        <v>1190.88</v>
      </c>
      <c r="ES29">
        <v>127.6</v>
      </c>
      <c r="ET29">
        <v>488.75</v>
      </c>
      <c r="EU29">
        <v>26.73</v>
      </c>
      <c r="EV29">
        <v>574.53</v>
      </c>
      <c r="EW29">
        <v>61.12</v>
      </c>
      <c r="EX29">
        <v>1.98</v>
      </c>
      <c r="EY29">
        <v>0</v>
      </c>
      <c r="EZ29">
        <v>0</v>
      </c>
      <c r="FQ29">
        <v>0</v>
      </c>
      <c r="FR29">
        <f>ROUND(IF(AND(AA29=0,BI29=3),P29,0),2)</f>
        <v>0</v>
      </c>
      <c r="FS29">
        <v>0</v>
      </c>
      <c r="FV29" t="s">
        <v>21</v>
      </c>
      <c r="FW29" t="s">
        <v>22</v>
      </c>
      <c r="FX29">
        <v>95</v>
      </c>
      <c r="FY29">
        <v>65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1</v>
      </c>
      <c r="GL29">
        <v>0</v>
      </c>
    </row>
    <row r="30" spans="1:194" ht="12.75">
      <c r="A30">
        <v>17</v>
      </c>
      <c r="B30">
        <v>1</v>
      </c>
      <c r="E30" t="s">
        <v>31</v>
      </c>
      <c r="F30" t="s">
        <v>32</v>
      </c>
      <c r="G30" t="s">
        <v>33</v>
      </c>
      <c r="H30" t="s">
        <v>34</v>
      </c>
      <c r="I30">
        <v>0.0274752</v>
      </c>
      <c r="J30">
        <v>0</v>
      </c>
      <c r="O30">
        <f>ROUND(CP30,2)</f>
        <v>38154.25</v>
      </c>
      <c r="P30">
        <f>ROUND(CQ30*I30,2)</f>
        <v>38154.25</v>
      </c>
      <c r="Q30">
        <f>ROUND(CR30*I30,2)</f>
        <v>0</v>
      </c>
      <c r="R30">
        <f>ROUND(CS30*I30,2)</f>
        <v>0</v>
      </c>
      <c r="S30">
        <f>ROUND(CT30*I30,2)</f>
        <v>0</v>
      </c>
      <c r="T30">
        <f>ROUND(CU30*I30,2)</f>
        <v>0</v>
      </c>
      <c r="U30">
        <f>CV30*I30</f>
        <v>0</v>
      </c>
      <c r="V30">
        <f>CW30*I30</f>
        <v>0</v>
      </c>
      <c r="W30">
        <f>ROUND(CX30*I30,2)</f>
        <v>15.01</v>
      </c>
      <c r="X30">
        <f t="shared" si="3"/>
        <v>0</v>
      </c>
      <c r="Y30">
        <f t="shared" si="3"/>
        <v>0</v>
      </c>
      <c r="AA30">
        <v>0</v>
      </c>
      <c r="AB30">
        <f>(AC30+AD30+AF30)</f>
        <v>328293.05</v>
      </c>
      <c r="AC30">
        <f>(ES30)</f>
        <v>328293.05</v>
      </c>
      <c r="AD30">
        <f>(ET30)</f>
        <v>0</v>
      </c>
      <c r="AE30">
        <f>(EU30)</f>
        <v>0</v>
      </c>
      <c r="AF30">
        <f>(EV30)</f>
        <v>0</v>
      </c>
      <c r="AG30">
        <f>(AP30)</f>
        <v>0</v>
      </c>
      <c r="AH30">
        <f>(EW30)</f>
        <v>0</v>
      </c>
      <c r="AI30">
        <f>(EX30)</f>
        <v>0</v>
      </c>
      <c r="AJ30">
        <f>(AS30)</f>
        <v>546.23</v>
      </c>
      <c r="AK30">
        <v>328293.05</v>
      </c>
      <c r="AL30">
        <v>328293.05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546.23</v>
      </c>
      <c r="AV30">
        <v>1</v>
      </c>
      <c r="AW30">
        <v>1</v>
      </c>
      <c r="AX30">
        <v>1</v>
      </c>
      <c r="AY30">
        <v>1</v>
      </c>
      <c r="AZ30">
        <v>4.23</v>
      </c>
      <c r="BA30">
        <v>1</v>
      </c>
      <c r="BB30">
        <v>1</v>
      </c>
      <c r="BC30">
        <v>4.23</v>
      </c>
      <c r="BH30">
        <v>3</v>
      </c>
      <c r="BI30">
        <v>2</v>
      </c>
      <c r="BJ30" t="s">
        <v>35</v>
      </c>
      <c r="BM30">
        <v>500002</v>
      </c>
      <c r="BN30">
        <v>0</v>
      </c>
      <c r="BO30" t="s">
        <v>32</v>
      </c>
      <c r="BP30">
        <v>1</v>
      </c>
      <c r="BQ30">
        <v>8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>(P30+Q30+S30)</f>
        <v>38154.25</v>
      </c>
      <c r="CQ30">
        <f>(AC30)*BC30</f>
        <v>1388679.6015</v>
      </c>
      <c r="CR30">
        <f>(AD30)*BB30</f>
        <v>0</v>
      </c>
      <c r="CS30">
        <f>(AE30)*BS30</f>
        <v>0</v>
      </c>
      <c r="CT30">
        <f>(AF30)*BA30</f>
        <v>0</v>
      </c>
      <c r="CU30">
        <f t="shared" si="4"/>
        <v>0</v>
      </c>
      <c r="CV30">
        <f t="shared" si="4"/>
        <v>0</v>
      </c>
      <c r="CW30">
        <f t="shared" si="4"/>
        <v>0</v>
      </c>
      <c r="CX30">
        <f t="shared" si="4"/>
        <v>546.23</v>
      </c>
      <c r="CY30">
        <f>(0)*BX30</f>
        <v>0</v>
      </c>
      <c r="CZ30">
        <f>(0)*AX30</f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1013</v>
      </c>
      <c r="DV30" t="s">
        <v>34</v>
      </c>
      <c r="DW30" t="s">
        <v>36</v>
      </c>
      <c r="DX30">
        <v>1</v>
      </c>
      <c r="EE30">
        <v>14795073</v>
      </c>
      <c r="EF30">
        <v>8</v>
      </c>
      <c r="EG30" t="s">
        <v>37</v>
      </c>
      <c r="EH30">
        <v>0</v>
      </c>
      <c r="EJ30">
        <v>2</v>
      </c>
      <c r="EK30">
        <v>500002</v>
      </c>
      <c r="EL30" t="s">
        <v>38</v>
      </c>
      <c r="EM30" t="s">
        <v>39</v>
      </c>
      <c r="EQ30">
        <v>0</v>
      </c>
      <c r="ER30">
        <v>328293.05</v>
      </c>
      <c r="ES30">
        <v>328293.05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Q30">
        <v>0</v>
      </c>
      <c r="FR30">
        <f>ROUND(IF(AND(AA30=0,BI30=3),P30,0),2)</f>
        <v>0</v>
      </c>
      <c r="FS30">
        <v>0</v>
      </c>
      <c r="FX30">
        <v>0</v>
      </c>
      <c r="FY30">
        <v>0</v>
      </c>
      <c r="GA30">
        <v>328293.05</v>
      </c>
      <c r="GB30">
        <v>328293.05</v>
      </c>
      <c r="GC30">
        <v>0</v>
      </c>
      <c r="GD30">
        <v>0</v>
      </c>
      <c r="GE30">
        <v>0</v>
      </c>
      <c r="GF30">
        <v>328293.05</v>
      </c>
      <c r="GG30">
        <v>328293.05</v>
      </c>
      <c r="GH30">
        <v>0</v>
      </c>
      <c r="GI30">
        <v>0</v>
      </c>
      <c r="GJ30">
        <v>0</v>
      </c>
      <c r="GK30">
        <v>1</v>
      </c>
      <c r="GL30">
        <v>0</v>
      </c>
    </row>
    <row r="32" spans="1:43" ht="12.75">
      <c r="A32" s="2">
        <v>51</v>
      </c>
      <c r="B32" s="2">
        <f>B24</f>
        <v>1</v>
      </c>
      <c r="C32" s="2">
        <f>A24</f>
        <v>4</v>
      </c>
      <c r="D32" s="2">
        <f>ROW(A24)</f>
        <v>24</v>
      </c>
      <c r="E32" s="2"/>
      <c r="F32" s="2" t="str">
        <f>IF(F24&lt;&gt;"",F24,"")</f>
        <v>Новый раздел</v>
      </c>
      <c r="G32" s="2" t="str">
        <f>IF(G24&lt;&gt;"",G24,"")</f>
        <v>Электроснабжение системы вентиляции оперблоков</v>
      </c>
      <c r="H32" s="2"/>
      <c r="I32" s="2"/>
      <c r="J32" s="2"/>
      <c r="K32" s="2"/>
      <c r="L32" s="2"/>
      <c r="M32" s="2"/>
      <c r="N32" s="2"/>
      <c r="O32" s="2">
        <f aca="true" t="shared" si="5" ref="O32:Y32">ROUND(AB32,2)</f>
        <v>44469.11</v>
      </c>
      <c r="P32" s="2">
        <f t="shared" si="5"/>
        <v>38345.01</v>
      </c>
      <c r="Q32" s="2">
        <f t="shared" si="5"/>
        <v>1062.83</v>
      </c>
      <c r="R32" s="2">
        <f t="shared" si="5"/>
        <v>215.5</v>
      </c>
      <c r="S32" s="2">
        <f t="shared" si="5"/>
        <v>5061.27</v>
      </c>
      <c r="T32" s="2">
        <f t="shared" si="5"/>
        <v>0</v>
      </c>
      <c r="U32" s="2">
        <f t="shared" si="5"/>
        <v>23.96</v>
      </c>
      <c r="V32" s="2">
        <f t="shared" si="5"/>
        <v>0.7</v>
      </c>
      <c r="W32" s="2">
        <f t="shared" si="5"/>
        <v>15.01</v>
      </c>
      <c r="X32" s="2">
        <f t="shared" si="5"/>
        <v>4233.86</v>
      </c>
      <c r="Y32" s="2">
        <f t="shared" si="5"/>
        <v>2743.92</v>
      </c>
      <c r="Z32" s="2"/>
      <c r="AA32" s="2"/>
      <c r="AB32" s="2">
        <f>ROUND(SUMIF(AA28:AA30,"=0",O28:O30),2)</f>
        <v>44469.11</v>
      </c>
      <c r="AC32" s="2">
        <f>ROUND(SUMIF(AA28:AA30,"=0",P28:P30),2)</f>
        <v>38345.01</v>
      </c>
      <c r="AD32" s="2">
        <f>ROUND(SUMIF(AA28:AA30,"=0",Q28:Q30),2)</f>
        <v>1062.83</v>
      </c>
      <c r="AE32" s="2">
        <f>ROUND(SUMIF(AA28:AA30,"=0",R28:R30),2)</f>
        <v>215.5</v>
      </c>
      <c r="AF32" s="2">
        <f>ROUND(SUMIF(AA28:AA30,"=0",S28:S30),2)</f>
        <v>5061.27</v>
      </c>
      <c r="AG32" s="2">
        <f>ROUND(SUMIF(AA28:AA30,"=0",T28:T30),2)</f>
        <v>0</v>
      </c>
      <c r="AH32" s="2">
        <f>ROUND(SUMIF(AA28:AA30,"=0",U28:U30),2)</f>
        <v>23.96</v>
      </c>
      <c r="AI32" s="2">
        <f>ROUND(SUMIF(AA28:AA30,"=0",V28:V30),2)</f>
        <v>0.7</v>
      </c>
      <c r="AJ32" s="2">
        <f>ROUND(SUMIF(AA28:AA30,"=0",W28:W30),2)</f>
        <v>15.01</v>
      </c>
      <c r="AK32" s="2">
        <f>ROUND(SUMIF(AA28:AA30,"=0",X28:X30),2)</f>
        <v>4233.86</v>
      </c>
      <c r="AL32" s="2">
        <f>ROUND(SUMIF(AA28:AA30,"=0",Y28:Y30),2)</f>
        <v>2743.92</v>
      </c>
      <c r="AM32" s="2"/>
      <c r="AN32" s="2">
        <f>ROUND(AO32,2)</f>
        <v>0</v>
      </c>
      <c r="AO32" s="2">
        <f>ROUND(SUMIF(AA28:AA30,"=0",FQ28:FQ30),2)</f>
        <v>0</v>
      </c>
      <c r="AP32" s="2">
        <f>ROUND(AQ32,2)</f>
        <v>0</v>
      </c>
      <c r="AQ32" s="2">
        <f>ROUND(SUM(FR28:FR30),2)</f>
        <v>0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201</v>
      </c>
      <c r="F34" s="3">
        <f>Source!O32</f>
        <v>44469.11</v>
      </c>
      <c r="G34" s="3" t="s">
        <v>40</v>
      </c>
      <c r="H34" s="3" t="s">
        <v>41</v>
      </c>
      <c r="I34" s="3"/>
      <c r="J34" s="3"/>
      <c r="K34" s="3">
        <v>201</v>
      </c>
      <c r="L34" s="3">
        <v>1</v>
      </c>
      <c r="M34" s="3">
        <v>3</v>
      </c>
      <c r="N34" s="3" t="s">
        <v>2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202</v>
      </c>
      <c r="F35" s="3">
        <f>Source!P32</f>
        <v>38345.01</v>
      </c>
      <c r="G35" s="3" t="s">
        <v>42</v>
      </c>
      <c r="H35" s="3" t="s">
        <v>43</v>
      </c>
      <c r="I35" s="3"/>
      <c r="J35" s="3"/>
      <c r="K35" s="3">
        <v>202</v>
      </c>
      <c r="L35" s="3">
        <v>2</v>
      </c>
      <c r="M35" s="3">
        <v>3</v>
      </c>
      <c r="N35" s="3" t="s">
        <v>2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222</v>
      </c>
      <c r="F36" s="3">
        <f>Source!AN32</f>
        <v>0</v>
      </c>
      <c r="G36" s="3" t="s">
        <v>44</v>
      </c>
      <c r="H36" s="3" t="s">
        <v>45</v>
      </c>
      <c r="I36" s="3"/>
      <c r="J36" s="3"/>
      <c r="K36" s="3">
        <v>222</v>
      </c>
      <c r="L36" s="3">
        <v>3</v>
      </c>
      <c r="M36" s="3">
        <v>3</v>
      </c>
      <c r="N36" s="3" t="s">
        <v>2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216</v>
      </c>
      <c r="F37" s="3">
        <f>Source!AP32</f>
        <v>0</v>
      </c>
      <c r="G37" s="3" t="s">
        <v>46</v>
      </c>
      <c r="H37" s="3" t="s">
        <v>47</v>
      </c>
      <c r="I37" s="3"/>
      <c r="J37" s="3"/>
      <c r="K37" s="3">
        <v>216</v>
      </c>
      <c r="L37" s="3">
        <v>4</v>
      </c>
      <c r="M37" s="3">
        <v>3</v>
      </c>
      <c r="N37" s="3" t="s">
        <v>2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203</v>
      </c>
      <c r="F38" s="3">
        <f>Source!Q32</f>
        <v>1062.83</v>
      </c>
      <c r="G38" s="3" t="s">
        <v>48</v>
      </c>
      <c r="H38" s="3" t="s">
        <v>49</v>
      </c>
      <c r="I38" s="3"/>
      <c r="J38" s="3"/>
      <c r="K38" s="3">
        <v>203</v>
      </c>
      <c r="L38" s="3">
        <v>5</v>
      </c>
      <c r="M38" s="3">
        <v>3</v>
      </c>
      <c r="N38" s="3" t="s">
        <v>2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204</v>
      </c>
      <c r="F39" s="3">
        <f>Source!R32</f>
        <v>215.5</v>
      </c>
      <c r="G39" s="3" t="s">
        <v>50</v>
      </c>
      <c r="H39" s="3" t="s">
        <v>51</v>
      </c>
      <c r="I39" s="3"/>
      <c r="J39" s="3"/>
      <c r="K39" s="3">
        <v>204</v>
      </c>
      <c r="L39" s="3">
        <v>6</v>
      </c>
      <c r="M39" s="3">
        <v>3</v>
      </c>
      <c r="N39" s="3" t="s">
        <v>2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205</v>
      </c>
      <c r="F40" s="3">
        <f>Source!S32</f>
        <v>5061.27</v>
      </c>
      <c r="G40" s="3" t="s">
        <v>52</v>
      </c>
      <c r="H40" s="3" t="s">
        <v>53</v>
      </c>
      <c r="I40" s="3"/>
      <c r="J40" s="3"/>
      <c r="K40" s="3">
        <v>205</v>
      </c>
      <c r="L40" s="3">
        <v>7</v>
      </c>
      <c r="M40" s="3">
        <v>3</v>
      </c>
      <c r="N40" s="3" t="s">
        <v>2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206</v>
      </c>
      <c r="F41" s="3">
        <f>Source!T32</f>
        <v>0</v>
      </c>
      <c r="G41" s="3" t="s">
        <v>54</v>
      </c>
      <c r="H41" s="3" t="s">
        <v>55</v>
      </c>
      <c r="I41" s="3"/>
      <c r="J41" s="3"/>
      <c r="K41" s="3">
        <v>206</v>
      </c>
      <c r="L41" s="3">
        <v>8</v>
      </c>
      <c r="M41" s="3">
        <v>3</v>
      </c>
      <c r="N41" s="3" t="s">
        <v>2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207</v>
      </c>
      <c r="F42" s="3">
        <f>Source!U32</f>
        <v>23.96</v>
      </c>
      <c r="G42" s="3" t="s">
        <v>56</v>
      </c>
      <c r="H42" s="3" t="s">
        <v>57</v>
      </c>
      <c r="I42" s="3"/>
      <c r="J42" s="3"/>
      <c r="K42" s="3">
        <v>207</v>
      </c>
      <c r="L42" s="3">
        <v>9</v>
      </c>
      <c r="M42" s="3">
        <v>3</v>
      </c>
      <c r="N42" s="3" t="s">
        <v>2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208</v>
      </c>
      <c r="F43" s="3">
        <f>Source!V32</f>
        <v>0.7</v>
      </c>
      <c r="G43" s="3" t="s">
        <v>58</v>
      </c>
      <c r="H43" s="3" t="s">
        <v>59</v>
      </c>
      <c r="I43" s="3"/>
      <c r="J43" s="3"/>
      <c r="K43" s="3">
        <v>208</v>
      </c>
      <c r="L43" s="3">
        <v>10</v>
      </c>
      <c r="M43" s="3">
        <v>3</v>
      </c>
      <c r="N43" s="3" t="s">
        <v>2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209</v>
      </c>
      <c r="F44" s="3">
        <f>Source!W32</f>
        <v>15.01</v>
      </c>
      <c r="G44" s="3" t="s">
        <v>60</v>
      </c>
      <c r="H44" s="3" t="s">
        <v>61</v>
      </c>
      <c r="I44" s="3"/>
      <c r="J44" s="3"/>
      <c r="K44" s="3">
        <v>209</v>
      </c>
      <c r="L44" s="3">
        <v>11</v>
      </c>
      <c r="M44" s="3">
        <v>3</v>
      </c>
      <c r="N44" s="3" t="s">
        <v>2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210</v>
      </c>
      <c r="F45" s="3">
        <f>Source!X32</f>
        <v>4233.86</v>
      </c>
      <c r="G45" s="3" t="s">
        <v>62</v>
      </c>
      <c r="H45" s="3" t="s">
        <v>63</v>
      </c>
      <c r="I45" s="3"/>
      <c r="J45" s="3"/>
      <c r="K45" s="3">
        <v>210</v>
      </c>
      <c r="L45" s="3">
        <v>12</v>
      </c>
      <c r="M45" s="3">
        <v>3</v>
      </c>
      <c r="N45" s="3" t="s">
        <v>2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211</v>
      </c>
      <c r="F46" s="3">
        <f>Source!Y32</f>
        <v>2743.92</v>
      </c>
      <c r="G46" s="3" t="s">
        <v>64</v>
      </c>
      <c r="H46" s="3" t="s">
        <v>65</v>
      </c>
      <c r="I46" s="3"/>
      <c r="J46" s="3"/>
      <c r="K46" s="3">
        <v>211</v>
      </c>
      <c r="L46" s="3">
        <v>13</v>
      </c>
      <c r="M46" s="3">
        <v>3</v>
      </c>
      <c r="N46" s="3" t="s">
        <v>2</v>
      </c>
    </row>
    <row r="48" spans="1:43" ht="12.75">
      <c r="A48" s="2">
        <v>51</v>
      </c>
      <c r="B48" s="2">
        <f>B20</f>
        <v>1</v>
      </c>
      <c r="C48" s="2">
        <f>A20</f>
        <v>3</v>
      </c>
      <c r="D48" s="2">
        <f>ROW(A20)</f>
        <v>20</v>
      </c>
      <c r="E48" s="2"/>
      <c r="F48" s="2" t="str">
        <f>IF(F20&lt;&gt;"",F20,"")</f>
        <v>Новая локальная смета</v>
      </c>
      <c r="G48" s="2" t="str">
        <f>IF(G20&lt;&gt;"",G20,"")</f>
        <v>Новая локальная смета</v>
      </c>
      <c r="H48" s="2"/>
      <c r="I48" s="2"/>
      <c r="J48" s="2"/>
      <c r="K48" s="2"/>
      <c r="L48" s="2"/>
      <c r="M48" s="2"/>
      <c r="N48" s="2"/>
      <c r="O48" s="2">
        <f aca="true" t="shared" si="6" ref="O48:Y48">ROUND(O32+AB48,2)</f>
        <v>44469.11</v>
      </c>
      <c r="P48" s="2">
        <f t="shared" si="6"/>
        <v>38345.01</v>
      </c>
      <c r="Q48" s="2">
        <f t="shared" si="6"/>
        <v>1062.83</v>
      </c>
      <c r="R48" s="2">
        <f t="shared" si="6"/>
        <v>215.5</v>
      </c>
      <c r="S48" s="2">
        <f t="shared" si="6"/>
        <v>5061.27</v>
      </c>
      <c r="T48" s="2">
        <f t="shared" si="6"/>
        <v>0</v>
      </c>
      <c r="U48" s="2">
        <f t="shared" si="6"/>
        <v>23.96</v>
      </c>
      <c r="V48" s="2">
        <f t="shared" si="6"/>
        <v>0.7</v>
      </c>
      <c r="W48" s="2">
        <f t="shared" si="6"/>
        <v>15.01</v>
      </c>
      <c r="X48" s="2">
        <f t="shared" si="6"/>
        <v>4233.86</v>
      </c>
      <c r="Y48" s="2">
        <f t="shared" si="6"/>
        <v>2743.92</v>
      </c>
      <c r="Z48" s="2"/>
      <c r="AA48" s="2"/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/>
      <c r="AN48" s="2">
        <f>ROUND(AN32+AO48,2)</f>
        <v>0</v>
      </c>
      <c r="AO48" s="2">
        <v>0</v>
      </c>
      <c r="AP48" s="2">
        <f>ROUND(AP32+AQ48,2)</f>
        <v>0</v>
      </c>
      <c r="AQ48" s="2">
        <v>0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201</v>
      </c>
      <c r="F50" s="3">
        <f>Source!O48</f>
        <v>44469.11</v>
      </c>
      <c r="G50" s="3" t="s">
        <v>40</v>
      </c>
      <c r="H50" s="3" t="s">
        <v>41</v>
      </c>
      <c r="I50" s="3"/>
      <c r="J50" s="3"/>
      <c r="K50" s="3">
        <v>201</v>
      </c>
      <c r="L50" s="3">
        <v>1</v>
      </c>
      <c r="M50" s="3">
        <v>3</v>
      </c>
      <c r="N50" s="3" t="s">
        <v>2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202</v>
      </c>
      <c r="F51" s="3">
        <f>Source!P48</f>
        <v>38345.01</v>
      </c>
      <c r="G51" s="3" t="s">
        <v>42</v>
      </c>
      <c r="H51" s="3" t="s">
        <v>43</v>
      </c>
      <c r="I51" s="3"/>
      <c r="J51" s="3"/>
      <c r="K51" s="3">
        <v>202</v>
      </c>
      <c r="L51" s="3">
        <v>2</v>
      </c>
      <c r="M51" s="3">
        <v>3</v>
      </c>
      <c r="N51" s="3" t="s">
        <v>2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222</v>
      </c>
      <c r="F52" s="3">
        <f>Source!AN48</f>
        <v>0</v>
      </c>
      <c r="G52" s="3" t="s">
        <v>44</v>
      </c>
      <c r="H52" s="3" t="s">
        <v>45</v>
      </c>
      <c r="I52" s="3"/>
      <c r="J52" s="3"/>
      <c r="K52" s="3">
        <v>222</v>
      </c>
      <c r="L52" s="3">
        <v>3</v>
      </c>
      <c r="M52" s="3">
        <v>3</v>
      </c>
      <c r="N52" s="3" t="s">
        <v>2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216</v>
      </c>
      <c r="F53" s="3">
        <f>Source!AP48</f>
        <v>0</v>
      </c>
      <c r="G53" s="3" t="s">
        <v>46</v>
      </c>
      <c r="H53" s="3" t="s">
        <v>47</v>
      </c>
      <c r="I53" s="3"/>
      <c r="J53" s="3"/>
      <c r="K53" s="3">
        <v>216</v>
      </c>
      <c r="L53" s="3">
        <v>4</v>
      </c>
      <c r="M53" s="3">
        <v>3</v>
      </c>
      <c r="N53" s="3" t="s">
        <v>2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Source!Q48</f>
        <v>1062.83</v>
      </c>
      <c r="G54" s="3" t="s">
        <v>48</v>
      </c>
      <c r="H54" s="3" t="s">
        <v>49</v>
      </c>
      <c r="I54" s="3"/>
      <c r="J54" s="3"/>
      <c r="K54" s="3">
        <v>203</v>
      </c>
      <c r="L54" s="3">
        <v>5</v>
      </c>
      <c r="M54" s="3">
        <v>3</v>
      </c>
      <c r="N54" s="3" t="s">
        <v>2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Source!R48</f>
        <v>215.5</v>
      </c>
      <c r="G55" s="3" t="s">
        <v>50</v>
      </c>
      <c r="H55" s="3" t="s">
        <v>51</v>
      </c>
      <c r="I55" s="3"/>
      <c r="J55" s="3"/>
      <c r="K55" s="3">
        <v>204</v>
      </c>
      <c r="L55" s="3">
        <v>6</v>
      </c>
      <c r="M55" s="3">
        <v>3</v>
      </c>
      <c r="N55" s="3" t="s">
        <v>2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Source!S48</f>
        <v>5061.27</v>
      </c>
      <c r="G56" s="3" t="s">
        <v>52</v>
      </c>
      <c r="H56" s="3" t="s">
        <v>53</v>
      </c>
      <c r="I56" s="3"/>
      <c r="J56" s="3"/>
      <c r="K56" s="3">
        <v>205</v>
      </c>
      <c r="L56" s="3">
        <v>7</v>
      </c>
      <c r="M56" s="3">
        <v>3</v>
      </c>
      <c r="N56" s="3" t="s">
        <v>2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Source!T48</f>
        <v>0</v>
      </c>
      <c r="G57" s="3" t="s">
        <v>54</v>
      </c>
      <c r="H57" s="3" t="s">
        <v>55</v>
      </c>
      <c r="I57" s="3"/>
      <c r="J57" s="3"/>
      <c r="K57" s="3">
        <v>206</v>
      </c>
      <c r="L57" s="3">
        <v>8</v>
      </c>
      <c r="M57" s="3">
        <v>3</v>
      </c>
      <c r="N57" s="3" t="s">
        <v>2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Source!U48</f>
        <v>23.96</v>
      </c>
      <c r="G58" s="3" t="s">
        <v>56</v>
      </c>
      <c r="H58" s="3" t="s">
        <v>57</v>
      </c>
      <c r="I58" s="3"/>
      <c r="J58" s="3"/>
      <c r="K58" s="3">
        <v>207</v>
      </c>
      <c r="L58" s="3">
        <v>9</v>
      </c>
      <c r="M58" s="3">
        <v>3</v>
      </c>
      <c r="N58" s="3" t="s">
        <v>2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Source!V48</f>
        <v>0.7</v>
      </c>
      <c r="G59" s="3" t="s">
        <v>58</v>
      </c>
      <c r="H59" s="3" t="s">
        <v>59</v>
      </c>
      <c r="I59" s="3"/>
      <c r="J59" s="3"/>
      <c r="K59" s="3">
        <v>208</v>
      </c>
      <c r="L59" s="3">
        <v>10</v>
      </c>
      <c r="M59" s="3">
        <v>3</v>
      </c>
      <c r="N59" s="3" t="s">
        <v>2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Source!W48</f>
        <v>15.01</v>
      </c>
      <c r="G60" s="3" t="s">
        <v>60</v>
      </c>
      <c r="H60" s="3" t="s">
        <v>61</v>
      </c>
      <c r="I60" s="3"/>
      <c r="J60" s="3"/>
      <c r="K60" s="3">
        <v>209</v>
      </c>
      <c r="L60" s="3">
        <v>11</v>
      </c>
      <c r="M60" s="3">
        <v>3</v>
      </c>
      <c r="N60" s="3" t="s">
        <v>2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Source!X48</f>
        <v>4233.86</v>
      </c>
      <c r="G61" s="3" t="s">
        <v>62</v>
      </c>
      <c r="H61" s="3" t="s">
        <v>63</v>
      </c>
      <c r="I61" s="3"/>
      <c r="J61" s="3"/>
      <c r="K61" s="3">
        <v>210</v>
      </c>
      <c r="L61" s="3">
        <v>12</v>
      </c>
      <c r="M61" s="3">
        <v>3</v>
      </c>
      <c r="N61" s="3" t="s">
        <v>2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Source!Y48</f>
        <v>2743.92</v>
      </c>
      <c r="G62" s="3" t="s">
        <v>64</v>
      </c>
      <c r="H62" s="3" t="s">
        <v>65</v>
      </c>
      <c r="I62" s="3"/>
      <c r="J62" s="3"/>
      <c r="K62" s="3">
        <v>211</v>
      </c>
      <c r="L62" s="3">
        <v>13</v>
      </c>
      <c r="M62" s="3">
        <v>3</v>
      </c>
      <c r="N62" s="3" t="s">
        <v>2</v>
      </c>
    </row>
    <row r="64" spans="1:43" ht="12.75">
      <c r="A64" s="2">
        <v>51</v>
      </c>
      <c r="B64" s="2">
        <f>B12</f>
        <v>1</v>
      </c>
      <c r="C64" s="2">
        <f>A12</f>
        <v>1</v>
      </c>
      <c r="D64" s="2">
        <f>ROW(A12)</f>
        <v>12</v>
      </c>
      <c r="E64" s="2"/>
      <c r="F64" s="2" t="str">
        <f>IF(F12&lt;&gt;"",F12,"")</f>
        <v>Новый объект</v>
      </c>
      <c r="G64" s="2" t="str">
        <f>IF(G12&lt;&gt;"",G12,"")</f>
        <v>№184-22.06.16 В ФЕР Корректировка сметы под сумму(Дмитрий Пожарский)</v>
      </c>
      <c r="H64" s="2"/>
      <c r="I64" s="2"/>
      <c r="J64" s="2"/>
      <c r="K64" s="2"/>
      <c r="L64" s="2"/>
      <c r="M64" s="2"/>
      <c r="N64" s="2"/>
      <c r="O64" s="2">
        <f aca="true" t="shared" si="7" ref="O64:Y64">ROUND(O48,2)</f>
        <v>44469.11</v>
      </c>
      <c r="P64" s="2">
        <f t="shared" si="7"/>
        <v>38345.01</v>
      </c>
      <c r="Q64" s="2">
        <f t="shared" si="7"/>
        <v>1062.83</v>
      </c>
      <c r="R64" s="2">
        <f t="shared" si="7"/>
        <v>215.5</v>
      </c>
      <c r="S64" s="2">
        <f t="shared" si="7"/>
        <v>5061.27</v>
      </c>
      <c r="T64" s="2">
        <f t="shared" si="7"/>
        <v>0</v>
      </c>
      <c r="U64" s="2">
        <f t="shared" si="7"/>
        <v>23.96</v>
      </c>
      <c r="V64" s="2">
        <f t="shared" si="7"/>
        <v>0.7</v>
      </c>
      <c r="W64" s="2">
        <f t="shared" si="7"/>
        <v>15.01</v>
      </c>
      <c r="X64" s="2">
        <f t="shared" si="7"/>
        <v>4233.86</v>
      </c>
      <c r="Y64" s="2">
        <f t="shared" si="7"/>
        <v>2743.92</v>
      </c>
      <c r="Z64" s="2"/>
      <c r="AA64" s="2"/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/>
      <c r="AN64" s="2">
        <f>ROUND(AN48,2)</f>
        <v>0</v>
      </c>
      <c r="AO64" s="2">
        <v>0</v>
      </c>
      <c r="AP64" s="2">
        <f>ROUND(AP48,2)</f>
        <v>0</v>
      </c>
      <c r="AQ64" s="2">
        <v>0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201</v>
      </c>
      <c r="F66" s="3">
        <f>Source!O64</f>
        <v>44469.11</v>
      </c>
      <c r="G66" s="3" t="s">
        <v>40</v>
      </c>
      <c r="H66" s="3" t="s">
        <v>41</v>
      </c>
      <c r="I66" s="3"/>
      <c r="J66" s="3"/>
      <c r="K66" s="3">
        <v>201</v>
      </c>
      <c r="L66" s="3">
        <v>1</v>
      </c>
      <c r="M66" s="3">
        <v>3</v>
      </c>
      <c r="N66" s="3" t="s">
        <v>2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202</v>
      </c>
      <c r="F67" s="3">
        <f>Source!P64</f>
        <v>38345.01</v>
      </c>
      <c r="G67" s="3" t="s">
        <v>42</v>
      </c>
      <c r="H67" s="3" t="s">
        <v>43</v>
      </c>
      <c r="I67" s="3"/>
      <c r="J67" s="3"/>
      <c r="K67" s="3">
        <v>202</v>
      </c>
      <c r="L67" s="3">
        <v>2</v>
      </c>
      <c r="M67" s="3">
        <v>3</v>
      </c>
      <c r="N67" s="3" t="s">
        <v>2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222</v>
      </c>
      <c r="F68" s="3">
        <f>Source!AN64</f>
        <v>0</v>
      </c>
      <c r="G68" s="3" t="s">
        <v>44</v>
      </c>
      <c r="H68" s="3" t="s">
        <v>45</v>
      </c>
      <c r="I68" s="3"/>
      <c r="J68" s="3"/>
      <c r="K68" s="3">
        <v>222</v>
      </c>
      <c r="L68" s="3">
        <v>3</v>
      </c>
      <c r="M68" s="3">
        <v>3</v>
      </c>
      <c r="N68" s="3" t="s">
        <v>2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216</v>
      </c>
      <c r="F69" s="3">
        <f>Source!AP64</f>
        <v>0</v>
      </c>
      <c r="G69" s="3" t="s">
        <v>46</v>
      </c>
      <c r="H69" s="3" t="s">
        <v>47</v>
      </c>
      <c r="I69" s="3"/>
      <c r="J69" s="3"/>
      <c r="K69" s="3">
        <v>216</v>
      </c>
      <c r="L69" s="3">
        <v>4</v>
      </c>
      <c r="M69" s="3">
        <v>3</v>
      </c>
      <c r="N69" s="3" t="s">
        <v>2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203</v>
      </c>
      <c r="F70" s="3">
        <f>Source!Q64</f>
        <v>1062.83</v>
      </c>
      <c r="G70" s="3" t="s">
        <v>48</v>
      </c>
      <c r="H70" s="3" t="s">
        <v>49</v>
      </c>
      <c r="I70" s="3"/>
      <c r="J70" s="3"/>
      <c r="K70" s="3">
        <v>203</v>
      </c>
      <c r="L70" s="3">
        <v>5</v>
      </c>
      <c r="M70" s="3">
        <v>3</v>
      </c>
      <c r="N70" s="3" t="s">
        <v>2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204</v>
      </c>
      <c r="F71" s="3">
        <f>Source!R64</f>
        <v>215.5</v>
      </c>
      <c r="G71" s="3" t="s">
        <v>50</v>
      </c>
      <c r="H71" s="3" t="s">
        <v>51</v>
      </c>
      <c r="I71" s="3"/>
      <c r="J71" s="3"/>
      <c r="K71" s="3">
        <v>204</v>
      </c>
      <c r="L71" s="3">
        <v>6</v>
      </c>
      <c r="M71" s="3">
        <v>3</v>
      </c>
      <c r="N71" s="3" t="s">
        <v>2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205</v>
      </c>
      <c r="F72" s="3">
        <f>Source!S64</f>
        <v>5061.27</v>
      </c>
      <c r="G72" s="3" t="s">
        <v>52</v>
      </c>
      <c r="H72" s="3" t="s">
        <v>53</v>
      </c>
      <c r="I72" s="3"/>
      <c r="J72" s="3"/>
      <c r="K72" s="3">
        <v>205</v>
      </c>
      <c r="L72" s="3">
        <v>7</v>
      </c>
      <c r="M72" s="3">
        <v>3</v>
      </c>
      <c r="N72" s="3" t="s">
        <v>2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206</v>
      </c>
      <c r="F73" s="3">
        <f>Source!T64</f>
        <v>0</v>
      </c>
      <c r="G73" s="3" t="s">
        <v>54</v>
      </c>
      <c r="H73" s="3" t="s">
        <v>55</v>
      </c>
      <c r="I73" s="3"/>
      <c r="J73" s="3"/>
      <c r="K73" s="3">
        <v>206</v>
      </c>
      <c r="L73" s="3">
        <v>8</v>
      </c>
      <c r="M73" s="3">
        <v>3</v>
      </c>
      <c r="N73" s="3" t="s">
        <v>2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207</v>
      </c>
      <c r="F74" s="3">
        <f>Source!U64</f>
        <v>23.96</v>
      </c>
      <c r="G74" s="3" t="s">
        <v>56</v>
      </c>
      <c r="H74" s="3" t="s">
        <v>57</v>
      </c>
      <c r="I74" s="3"/>
      <c r="J74" s="3"/>
      <c r="K74" s="3">
        <v>207</v>
      </c>
      <c r="L74" s="3">
        <v>9</v>
      </c>
      <c r="M74" s="3">
        <v>3</v>
      </c>
      <c r="N74" s="3" t="s">
        <v>2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208</v>
      </c>
      <c r="F75" s="3">
        <f>Source!V64</f>
        <v>0.7</v>
      </c>
      <c r="G75" s="3" t="s">
        <v>58</v>
      </c>
      <c r="H75" s="3" t="s">
        <v>59</v>
      </c>
      <c r="I75" s="3"/>
      <c r="J75" s="3"/>
      <c r="K75" s="3">
        <v>208</v>
      </c>
      <c r="L75" s="3">
        <v>10</v>
      </c>
      <c r="M75" s="3">
        <v>3</v>
      </c>
      <c r="N75" s="3" t="s">
        <v>2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209</v>
      </c>
      <c r="F76" s="3">
        <f>Source!W64</f>
        <v>15.01</v>
      </c>
      <c r="G76" s="3" t="s">
        <v>60</v>
      </c>
      <c r="H76" s="3" t="s">
        <v>61</v>
      </c>
      <c r="I76" s="3"/>
      <c r="J76" s="3"/>
      <c r="K76" s="3">
        <v>209</v>
      </c>
      <c r="L76" s="3">
        <v>11</v>
      </c>
      <c r="M76" s="3">
        <v>3</v>
      </c>
      <c r="N76" s="3" t="s">
        <v>2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210</v>
      </c>
      <c r="F77" s="3">
        <f>Source!X64</f>
        <v>4233.86</v>
      </c>
      <c r="G77" s="3" t="s">
        <v>62</v>
      </c>
      <c r="H77" s="3" t="s">
        <v>63</v>
      </c>
      <c r="I77" s="3"/>
      <c r="J77" s="3"/>
      <c r="K77" s="3">
        <v>210</v>
      </c>
      <c r="L77" s="3">
        <v>12</v>
      </c>
      <c r="M77" s="3">
        <v>3</v>
      </c>
      <c r="N77" s="3" t="s">
        <v>2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211</v>
      </c>
      <c r="F78" s="3">
        <f>Source!Y64</f>
        <v>2743.92</v>
      </c>
      <c r="G78" s="3" t="s">
        <v>64</v>
      </c>
      <c r="H78" s="3" t="s">
        <v>65</v>
      </c>
      <c r="I78" s="3"/>
      <c r="J78" s="3"/>
      <c r="K78" s="3">
        <v>211</v>
      </c>
      <c r="L78" s="3">
        <v>13</v>
      </c>
      <c r="M78" s="3">
        <v>3</v>
      </c>
      <c r="N78" s="3" t="s">
        <v>2</v>
      </c>
    </row>
    <row r="79" spans="1:14" ht="12.75">
      <c r="A79" s="3">
        <v>50</v>
      </c>
      <c r="B79" s="3">
        <v>1</v>
      </c>
      <c r="C79" s="3">
        <v>0</v>
      </c>
      <c r="D79" s="3">
        <v>2</v>
      </c>
      <c r="E79" s="3">
        <v>0</v>
      </c>
      <c r="F79" s="3">
        <f>ROUND(Source!F66+Source!F77+Source!F78,2)</f>
        <v>51446.89</v>
      </c>
      <c r="G79" s="3" t="s">
        <v>66</v>
      </c>
      <c r="H79" s="3" t="s">
        <v>67</v>
      </c>
      <c r="I79" s="3"/>
      <c r="J79" s="3"/>
      <c r="K79" s="3">
        <v>212</v>
      </c>
      <c r="L79" s="3">
        <v>14</v>
      </c>
      <c r="M79" s="3">
        <v>0</v>
      </c>
      <c r="N79" s="3" t="s">
        <v>2</v>
      </c>
    </row>
    <row r="80" spans="1:14" ht="12.75">
      <c r="A80" s="3">
        <v>50</v>
      </c>
      <c r="B80" s="3">
        <v>1</v>
      </c>
      <c r="C80" s="3">
        <v>0</v>
      </c>
      <c r="D80" s="3">
        <v>2</v>
      </c>
      <c r="E80" s="3">
        <v>0</v>
      </c>
      <c r="F80" s="3">
        <f>ROUND(Source!F79*0.18,2)</f>
        <v>9260.44</v>
      </c>
      <c r="G80" s="3" t="s">
        <v>68</v>
      </c>
      <c r="H80" s="3" t="s">
        <v>69</v>
      </c>
      <c r="I80" s="3"/>
      <c r="J80" s="3"/>
      <c r="K80" s="3">
        <v>212</v>
      </c>
      <c r="L80" s="3">
        <v>15</v>
      </c>
      <c r="M80" s="3">
        <v>0</v>
      </c>
      <c r="N80" s="3" t="s">
        <v>2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0</v>
      </c>
      <c r="F81" s="3">
        <f>ROUND(Source!F79+Source!F80,2)</f>
        <v>60707.33</v>
      </c>
      <c r="G81" s="3" t="s">
        <v>70</v>
      </c>
      <c r="H81" s="3" t="s">
        <v>71</v>
      </c>
      <c r="I81" s="3"/>
      <c r="J81" s="3"/>
      <c r="K81" s="3">
        <v>212</v>
      </c>
      <c r="L81" s="3">
        <v>16</v>
      </c>
      <c r="M81" s="3">
        <v>0</v>
      </c>
      <c r="N81" s="3" t="s">
        <v>2</v>
      </c>
    </row>
    <row r="84" spans="1:14" ht="12.75">
      <c r="A84">
        <v>70</v>
      </c>
      <c r="B84">
        <v>1</v>
      </c>
      <c r="D84">
        <v>0</v>
      </c>
      <c r="E84" t="s">
        <v>72</v>
      </c>
      <c r="F84" t="s">
        <v>73</v>
      </c>
      <c r="G84">
        <v>0.9</v>
      </c>
      <c r="H84">
        <v>0.9</v>
      </c>
      <c r="I84" t="s">
        <v>74</v>
      </c>
      <c r="J84">
        <v>0</v>
      </c>
      <c r="K84">
        <v>0</v>
      </c>
      <c r="N84">
        <v>0</v>
      </c>
    </row>
    <row r="85" spans="1:14" ht="12.75">
      <c r="A85">
        <v>70</v>
      </c>
      <c r="B85">
        <v>1</v>
      </c>
      <c r="D85">
        <v>1</v>
      </c>
      <c r="E85" t="s">
        <v>75</v>
      </c>
      <c r="F85" t="s">
        <v>76</v>
      </c>
      <c r="G85">
        <v>0.85</v>
      </c>
      <c r="H85">
        <v>0.85</v>
      </c>
      <c r="I85" t="s">
        <v>77</v>
      </c>
      <c r="J85">
        <v>0</v>
      </c>
      <c r="K85">
        <v>0</v>
      </c>
      <c r="N85">
        <v>0</v>
      </c>
    </row>
    <row r="86" spans="1:14" ht="12.75">
      <c r="A86">
        <v>70</v>
      </c>
      <c r="B86">
        <v>1</v>
      </c>
      <c r="D86">
        <v>2</v>
      </c>
      <c r="E86" t="s">
        <v>78</v>
      </c>
      <c r="F86" t="s">
        <v>79</v>
      </c>
      <c r="G86">
        <v>1</v>
      </c>
      <c r="H86">
        <v>0</v>
      </c>
      <c r="I86" t="s">
        <v>80</v>
      </c>
      <c r="J86">
        <v>0</v>
      </c>
      <c r="K86">
        <v>0</v>
      </c>
      <c r="N86">
        <v>0</v>
      </c>
    </row>
    <row r="87" spans="1:14" ht="12.75">
      <c r="A87">
        <v>70</v>
      </c>
      <c r="B87">
        <v>1</v>
      </c>
      <c r="D87">
        <v>3</v>
      </c>
      <c r="E87" t="s">
        <v>81</v>
      </c>
      <c r="F87" t="s">
        <v>82</v>
      </c>
      <c r="G87">
        <v>0.85</v>
      </c>
      <c r="H87">
        <v>0.85</v>
      </c>
      <c r="I87" t="s">
        <v>83</v>
      </c>
      <c r="J87">
        <v>0</v>
      </c>
      <c r="K87">
        <v>0</v>
      </c>
      <c r="N87">
        <v>0</v>
      </c>
    </row>
    <row r="88" spans="1:14" ht="12.75">
      <c r="A88">
        <v>70</v>
      </c>
      <c r="B88">
        <v>1</v>
      </c>
      <c r="D88">
        <v>4</v>
      </c>
      <c r="E88" t="s">
        <v>84</v>
      </c>
      <c r="F88" t="s">
        <v>85</v>
      </c>
      <c r="G88">
        <v>0.8</v>
      </c>
      <c r="H88">
        <v>0.8</v>
      </c>
      <c r="I88" t="s">
        <v>86</v>
      </c>
      <c r="J88">
        <v>0</v>
      </c>
      <c r="K88">
        <v>0</v>
      </c>
      <c r="N88">
        <v>0</v>
      </c>
    </row>
    <row r="89" spans="1:14" ht="12.75">
      <c r="A89">
        <v>70</v>
      </c>
      <c r="B89">
        <v>1</v>
      </c>
      <c r="D89">
        <v>5</v>
      </c>
      <c r="E89" t="s">
        <v>87</v>
      </c>
      <c r="F89" t="s">
        <v>88</v>
      </c>
      <c r="G89">
        <v>1</v>
      </c>
      <c r="H89">
        <v>1</v>
      </c>
      <c r="I89" t="s">
        <v>89</v>
      </c>
      <c r="J89">
        <v>0</v>
      </c>
      <c r="K89">
        <v>0</v>
      </c>
      <c r="N89">
        <v>0</v>
      </c>
    </row>
    <row r="90" spans="1:14" ht="12.75">
      <c r="A90">
        <v>70</v>
      </c>
      <c r="B90">
        <v>1</v>
      </c>
      <c r="D90">
        <v>6</v>
      </c>
      <c r="E90" t="s">
        <v>90</v>
      </c>
      <c r="F90" t="s">
        <v>91</v>
      </c>
      <c r="G90">
        <v>0</v>
      </c>
      <c r="H90">
        <v>0</v>
      </c>
      <c r="I90" t="s">
        <v>92</v>
      </c>
      <c r="J90">
        <v>0</v>
      </c>
      <c r="K90">
        <v>0</v>
      </c>
      <c r="N90">
        <v>0</v>
      </c>
    </row>
    <row r="91" spans="1:14" ht="12.75">
      <c r="A91">
        <v>70</v>
      </c>
      <c r="B91">
        <v>1</v>
      </c>
      <c r="D91">
        <v>7</v>
      </c>
      <c r="E91" t="s">
        <v>93</v>
      </c>
      <c r="F91" t="s">
        <v>94</v>
      </c>
      <c r="G91">
        <v>0</v>
      </c>
      <c r="H91">
        <v>0</v>
      </c>
      <c r="I91" t="s">
        <v>95</v>
      </c>
      <c r="J91">
        <v>0</v>
      </c>
      <c r="K91">
        <v>0</v>
      </c>
      <c r="N91">
        <v>0</v>
      </c>
    </row>
    <row r="92" spans="1:14" ht="12.75">
      <c r="A92">
        <v>70</v>
      </c>
      <c r="B92">
        <v>1</v>
      </c>
      <c r="D92">
        <v>10</v>
      </c>
      <c r="E92" t="s">
        <v>96</v>
      </c>
      <c r="F92" t="s">
        <v>97</v>
      </c>
      <c r="G92">
        <v>1</v>
      </c>
      <c r="H92">
        <v>1</v>
      </c>
      <c r="I92" t="s">
        <v>98</v>
      </c>
      <c r="J92">
        <v>0</v>
      </c>
      <c r="K92">
        <v>0</v>
      </c>
      <c r="N92">
        <v>0</v>
      </c>
    </row>
    <row r="93" spans="1:14" ht="12.75">
      <c r="A93">
        <v>70</v>
      </c>
      <c r="B93">
        <v>1</v>
      </c>
      <c r="D93">
        <v>11</v>
      </c>
      <c r="E93" t="s">
        <v>99</v>
      </c>
      <c r="F93" t="s">
        <v>100</v>
      </c>
      <c r="G93">
        <v>0</v>
      </c>
      <c r="H93">
        <v>0</v>
      </c>
      <c r="I93" t="s">
        <v>101</v>
      </c>
      <c r="J93">
        <v>0</v>
      </c>
      <c r="K93">
        <v>0</v>
      </c>
      <c r="N93">
        <v>0</v>
      </c>
    </row>
    <row r="94" spans="1:14" ht="12.75">
      <c r="A94">
        <v>70</v>
      </c>
      <c r="B94">
        <v>1</v>
      </c>
      <c r="D94">
        <v>13</v>
      </c>
      <c r="E94" t="s">
        <v>102</v>
      </c>
      <c r="F94" t="s">
        <v>103</v>
      </c>
      <c r="G94">
        <v>0</v>
      </c>
      <c r="H94">
        <v>0</v>
      </c>
      <c r="I94" t="s">
        <v>104</v>
      </c>
      <c r="J94">
        <v>0</v>
      </c>
      <c r="K94">
        <v>0</v>
      </c>
      <c r="N94">
        <v>0</v>
      </c>
    </row>
    <row r="95" spans="1:14" ht="12.75">
      <c r="A95">
        <v>70</v>
      </c>
      <c r="B95">
        <v>1</v>
      </c>
      <c r="D95">
        <v>14</v>
      </c>
      <c r="E95" t="s">
        <v>105</v>
      </c>
      <c r="F95" t="s">
        <v>106</v>
      </c>
      <c r="G95">
        <v>0.94</v>
      </c>
      <c r="H95">
        <v>0.94</v>
      </c>
      <c r="I95" t="s">
        <v>107</v>
      </c>
      <c r="J95">
        <v>0</v>
      </c>
      <c r="K95">
        <v>0</v>
      </c>
      <c r="N95">
        <v>0</v>
      </c>
    </row>
    <row r="96" spans="1:14" ht="12.75">
      <c r="A96">
        <v>70</v>
      </c>
      <c r="B96">
        <v>1</v>
      </c>
      <c r="D96">
        <v>12</v>
      </c>
      <c r="E96" t="s">
        <v>108</v>
      </c>
      <c r="F96" t="s">
        <v>109</v>
      </c>
      <c r="G96">
        <v>0</v>
      </c>
      <c r="H96">
        <v>0</v>
      </c>
      <c r="I96" t="s">
        <v>110</v>
      </c>
      <c r="J96">
        <v>0</v>
      </c>
      <c r="K96">
        <v>0</v>
      </c>
      <c r="N96">
        <v>0</v>
      </c>
    </row>
    <row r="97" spans="1:14" ht="12.75">
      <c r="A97">
        <v>70</v>
      </c>
      <c r="B97">
        <v>1</v>
      </c>
      <c r="D97">
        <v>8</v>
      </c>
      <c r="E97" t="s">
        <v>111</v>
      </c>
      <c r="F97" t="s">
        <v>112</v>
      </c>
      <c r="G97">
        <v>0</v>
      </c>
      <c r="H97">
        <v>0</v>
      </c>
      <c r="I97" t="s">
        <v>113</v>
      </c>
      <c r="J97">
        <v>0</v>
      </c>
      <c r="K97">
        <v>0</v>
      </c>
      <c r="N97">
        <v>0</v>
      </c>
    </row>
    <row r="98" spans="1:14" ht="12.75">
      <c r="A98">
        <v>70</v>
      </c>
      <c r="B98">
        <v>1</v>
      </c>
      <c r="D98">
        <v>9</v>
      </c>
      <c r="E98" t="s">
        <v>114</v>
      </c>
      <c r="F98" t="s">
        <v>115</v>
      </c>
      <c r="G98">
        <v>0</v>
      </c>
      <c r="H98">
        <v>0</v>
      </c>
      <c r="I98" t="s">
        <v>116</v>
      </c>
      <c r="J98">
        <v>0</v>
      </c>
      <c r="K98">
        <v>0</v>
      </c>
      <c r="N98">
        <v>0</v>
      </c>
    </row>
    <row r="101" spans="1:5" ht="12.75">
      <c r="A101">
        <v>65</v>
      </c>
      <c r="C101">
        <v>1</v>
      </c>
      <c r="D101">
        <v>0</v>
      </c>
      <c r="E10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17872069</v>
      </c>
      <c r="C1">
        <v>17872068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117</v>
      </c>
      <c r="K1" t="s">
        <v>118</v>
      </c>
      <c r="L1">
        <v>1369</v>
      </c>
      <c r="N1">
        <v>1013</v>
      </c>
      <c r="O1" t="s">
        <v>119</v>
      </c>
      <c r="P1" t="s">
        <v>119</v>
      </c>
      <c r="Q1">
        <v>1</v>
      </c>
      <c r="Y1">
        <v>9.64</v>
      </c>
      <c r="AA1">
        <v>0</v>
      </c>
      <c r="AB1">
        <v>0</v>
      </c>
      <c r="AC1">
        <v>0</v>
      </c>
      <c r="AD1">
        <v>7.8</v>
      </c>
      <c r="AN1">
        <v>0</v>
      </c>
      <c r="AO1">
        <v>1</v>
      </c>
      <c r="AP1">
        <v>0</v>
      </c>
      <c r="AQ1">
        <v>0</v>
      </c>
      <c r="AR1">
        <v>0</v>
      </c>
      <c r="AT1">
        <v>9.64</v>
      </c>
      <c r="AV1">
        <v>1</v>
      </c>
      <c r="AW1">
        <v>2</v>
      </c>
      <c r="AX1">
        <v>17872072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17872070</v>
      </c>
      <c r="C2">
        <v>17872068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120</v>
      </c>
      <c r="K2" t="s">
        <v>121</v>
      </c>
      <c r="L2">
        <v>608254</v>
      </c>
      <c r="N2">
        <v>1013</v>
      </c>
      <c r="O2" t="s">
        <v>122</v>
      </c>
      <c r="P2" t="s">
        <v>122</v>
      </c>
      <c r="Q2">
        <v>1</v>
      </c>
      <c r="Y2">
        <v>0.01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0.01</v>
      </c>
      <c r="AV2">
        <v>2</v>
      </c>
      <c r="AW2">
        <v>2</v>
      </c>
      <c r="AX2">
        <v>17872073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17872071</v>
      </c>
      <c r="C3">
        <v>17872068</v>
      </c>
      <c r="D3">
        <v>12072043</v>
      </c>
      <c r="E3">
        <v>1</v>
      </c>
      <c r="F3">
        <v>1</v>
      </c>
      <c r="G3">
        <v>1</v>
      </c>
      <c r="H3">
        <v>2</v>
      </c>
      <c r="I3" t="s">
        <v>123</v>
      </c>
      <c r="J3" t="s">
        <v>124</v>
      </c>
      <c r="K3" t="s">
        <v>125</v>
      </c>
      <c r="L3">
        <v>1368</v>
      </c>
      <c r="N3">
        <v>1011</v>
      </c>
      <c r="O3" t="s">
        <v>126</v>
      </c>
      <c r="P3" t="s">
        <v>126</v>
      </c>
      <c r="Q3">
        <v>1</v>
      </c>
      <c r="Y3">
        <v>0.01</v>
      </c>
      <c r="AA3">
        <v>0</v>
      </c>
      <c r="AB3">
        <v>31.26</v>
      </c>
      <c r="AC3">
        <v>13.5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0.01</v>
      </c>
      <c r="AV3">
        <v>0</v>
      </c>
      <c r="AW3">
        <v>2</v>
      </c>
      <c r="AX3">
        <v>17872074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17872076</v>
      </c>
      <c r="C4">
        <v>17872075</v>
      </c>
      <c r="D4">
        <v>9430636</v>
      </c>
      <c r="E4">
        <v>1</v>
      </c>
      <c r="F4">
        <v>1</v>
      </c>
      <c r="G4">
        <v>1</v>
      </c>
      <c r="H4">
        <v>1</v>
      </c>
      <c r="I4" t="s">
        <v>127</v>
      </c>
      <c r="K4" t="s">
        <v>128</v>
      </c>
      <c r="L4">
        <v>1369</v>
      </c>
      <c r="N4">
        <v>1013</v>
      </c>
      <c r="O4" t="s">
        <v>119</v>
      </c>
      <c r="P4" t="s">
        <v>119</v>
      </c>
      <c r="Q4">
        <v>1</v>
      </c>
      <c r="Y4">
        <v>82.512</v>
      </c>
      <c r="AA4">
        <v>0</v>
      </c>
      <c r="AB4">
        <v>0</v>
      </c>
      <c r="AC4">
        <v>0</v>
      </c>
      <c r="AD4">
        <v>9.4</v>
      </c>
      <c r="AN4">
        <v>0</v>
      </c>
      <c r="AO4">
        <v>1</v>
      </c>
      <c r="AP4">
        <v>1</v>
      </c>
      <c r="AQ4">
        <v>0</v>
      </c>
      <c r="AR4">
        <v>0</v>
      </c>
      <c r="AT4">
        <v>61.12</v>
      </c>
      <c r="AU4" t="s">
        <v>27</v>
      </c>
      <c r="AV4">
        <v>1</v>
      </c>
      <c r="AW4">
        <v>2</v>
      </c>
      <c r="AX4">
        <v>17872089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17872077</v>
      </c>
      <c r="C5">
        <v>17872075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120</v>
      </c>
      <c r="K5" t="s">
        <v>121</v>
      </c>
      <c r="L5">
        <v>608254</v>
      </c>
      <c r="N5">
        <v>1013</v>
      </c>
      <c r="O5" t="s">
        <v>122</v>
      </c>
      <c r="P5" t="s">
        <v>122</v>
      </c>
      <c r="Q5">
        <v>1</v>
      </c>
      <c r="Y5">
        <v>2.673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1.98</v>
      </c>
      <c r="AU5" t="s">
        <v>27</v>
      </c>
      <c r="AV5">
        <v>2</v>
      </c>
      <c r="AW5">
        <v>2</v>
      </c>
      <c r="AX5">
        <v>17872090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ROW(Source!A29)</f>
        <v>29</v>
      </c>
      <c r="B6">
        <v>17872078</v>
      </c>
      <c r="C6">
        <v>17872075</v>
      </c>
      <c r="D6">
        <v>12071797</v>
      </c>
      <c r="E6">
        <v>1</v>
      </c>
      <c r="F6">
        <v>1</v>
      </c>
      <c r="G6">
        <v>1</v>
      </c>
      <c r="H6">
        <v>2</v>
      </c>
      <c r="I6" t="s">
        <v>129</v>
      </c>
      <c r="J6" t="s">
        <v>130</v>
      </c>
      <c r="K6" t="s">
        <v>131</v>
      </c>
      <c r="L6">
        <v>1368</v>
      </c>
      <c r="N6">
        <v>1011</v>
      </c>
      <c r="O6" t="s">
        <v>126</v>
      </c>
      <c r="P6" t="s">
        <v>126</v>
      </c>
      <c r="Q6">
        <v>1</v>
      </c>
      <c r="Y6">
        <v>2.673</v>
      </c>
      <c r="AA6">
        <v>0</v>
      </c>
      <c r="AB6">
        <v>134.65</v>
      </c>
      <c r="AC6">
        <v>13.5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1.98</v>
      </c>
      <c r="AU6" t="s">
        <v>27</v>
      </c>
      <c r="AV6">
        <v>0</v>
      </c>
      <c r="AW6">
        <v>2</v>
      </c>
      <c r="AX6">
        <v>17872091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ROW(Source!A29)</f>
        <v>29</v>
      </c>
      <c r="B7">
        <v>17872079</v>
      </c>
      <c r="C7">
        <v>17872075</v>
      </c>
      <c r="D7">
        <v>12072161</v>
      </c>
      <c r="E7">
        <v>1</v>
      </c>
      <c r="F7">
        <v>1</v>
      </c>
      <c r="G7">
        <v>1</v>
      </c>
      <c r="H7">
        <v>2</v>
      </c>
      <c r="I7" t="s">
        <v>132</v>
      </c>
      <c r="J7" t="s">
        <v>133</v>
      </c>
      <c r="K7" t="s">
        <v>134</v>
      </c>
      <c r="L7">
        <v>1368</v>
      </c>
      <c r="N7">
        <v>1011</v>
      </c>
      <c r="O7" t="s">
        <v>126</v>
      </c>
      <c r="P7" t="s">
        <v>126</v>
      </c>
      <c r="Q7">
        <v>1</v>
      </c>
      <c r="Y7">
        <v>6.669000000000001</v>
      </c>
      <c r="AA7">
        <v>0</v>
      </c>
      <c r="AB7">
        <v>8.1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4.94</v>
      </c>
      <c r="AU7" t="s">
        <v>27</v>
      </c>
      <c r="AV7">
        <v>0</v>
      </c>
      <c r="AW7">
        <v>2</v>
      </c>
      <c r="AX7">
        <v>17872092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ROW(Source!A29)</f>
        <v>29</v>
      </c>
      <c r="B8">
        <v>17872080</v>
      </c>
      <c r="C8">
        <v>17872075</v>
      </c>
      <c r="D8">
        <v>12074323</v>
      </c>
      <c r="E8">
        <v>1</v>
      </c>
      <c r="F8">
        <v>1</v>
      </c>
      <c r="G8">
        <v>1</v>
      </c>
      <c r="H8">
        <v>2</v>
      </c>
      <c r="I8" t="s">
        <v>135</v>
      </c>
      <c r="J8" t="s">
        <v>136</v>
      </c>
      <c r="K8" t="s">
        <v>137</v>
      </c>
      <c r="L8">
        <v>1368</v>
      </c>
      <c r="N8">
        <v>1011</v>
      </c>
      <c r="O8" t="s">
        <v>126</v>
      </c>
      <c r="P8" t="s">
        <v>126</v>
      </c>
      <c r="Q8">
        <v>1</v>
      </c>
      <c r="Y8">
        <v>6.6015</v>
      </c>
      <c r="AA8">
        <v>0</v>
      </c>
      <c r="AB8">
        <v>1.95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4.89</v>
      </c>
      <c r="AU8" t="s">
        <v>27</v>
      </c>
      <c r="AV8">
        <v>0</v>
      </c>
      <c r="AW8">
        <v>2</v>
      </c>
      <c r="AX8">
        <v>17872093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ROW(Source!A29)</f>
        <v>29</v>
      </c>
      <c r="B9">
        <v>17872081</v>
      </c>
      <c r="C9">
        <v>17872075</v>
      </c>
      <c r="D9">
        <v>12074784</v>
      </c>
      <c r="E9">
        <v>1</v>
      </c>
      <c r="F9">
        <v>1</v>
      </c>
      <c r="G9">
        <v>1</v>
      </c>
      <c r="H9">
        <v>2</v>
      </c>
      <c r="I9" t="s">
        <v>138</v>
      </c>
      <c r="J9" t="s">
        <v>139</v>
      </c>
      <c r="K9" t="s">
        <v>140</v>
      </c>
      <c r="L9">
        <v>1368</v>
      </c>
      <c r="N9">
        <v>1011</v>
      </c>
      <c r="O9" t="s">
        <v>126</v>
      </c>
      <c r="P9" t="s">
        <v>126</v>
      </c>
      <c r="Q9">
        <v>1</v>
      </c>
      <c r="Y9">
        <v>2.673</v>
      </c>
      <c r="AA9">
        <v>0</v>
      </c>
      <c r="AB9">
        <v>87.17</v>
      </c>
      <c r="AC9">
        <v>11.6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1.98</v>
      </c>
      <c r="AU9" t="s">
        <v>27</v>
      </c>
      <c r="AV9">
        <v>0</v>
      </c>
      <c r="AW9">
        <v>2</v>
      </c>
      <c r="AX9">
        <v>17872094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ROW(Source!A29)</f>
        <v>29</v>
      </c>
      <c r="B10">
        <v>17872082</v>
      </c>
      <c r="C10">
        <v>17872075</v>
      </c>
      <c r="D10">
        <v>12107920</v>
      </c>
      <c r="E10">
        <v>1</v>
      </c>
      <c r="F10">
        <v>1</v>
      </c>
      <c r="G10">
        <v>1</v>
      </c>
      <c r="H10">
        <v>3</v>
      </c>
      <c r="I10" t="s">
        <v>141</v>
      </c>
      <c r="J10" t="s">
        <v>142</v>
      </c>
      <c r="K10" t="s">
        <v>143</v>
      </c>
      <c r="L10">
        <v>1348</v>
      </c>
      <c r="N10">
        <v>1009</v>
      </c>
      <c r="O10" t="s">
        <v>144</v>
      </c>
      <c r="P10" t="s">
        <v>144</v>
      </c>
      <c r="Q10">
        <v>1000</v>
      </c>
      <c r="Y10">
        <v>0.0017</v>
      </c>
      <c r="AA10">
        <v>12430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0.0017</v>
      </c>
      <c r="AV10">
        <v>0</v>
      </c>
      <c r="AW10">
        <v>2</v>
      </c>
      <c r="AX10">
        <v>17872095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ROW(Source!A29)</f>
        <v>29</v>
      </c>
      <c r="B11">
        <v>17872083</v>
      </c>
      <c r="C11">
        <v>17872075</v>
      </c>
      <c r="D11">
        <v>12107539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1346</v>
      </c>
      <c r="N11">
        <v>1009</v>
      </c>
      <c r="O11" t="s">
        <v>148</v>
      </c>
      <c r="P11" t="s">
        <v>148</v>
      </c>
      <c r="Q11">
        <v>1</v>
      </c>
      <c r="Y11">
        <v>3</v>
      </c>
      <c r="AA11">
        <v>10.57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</v>
      </c>
      <c r="AV11">
        <v>0</v>
      </c>
      <c r="AW11">
        <v>2</v>
      </c>
      <c r="AX11">
        <v>17872096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ROW(Source!A29)</f>
        <v>29</v>
      </c>
      <c r="B12">
        <v>17872084</v>
      </c>
      <c r="C12">
        <v>17872075</v>
      </c>
      <c r="D12">
        <v>12102363</v>
      </c>
      <c r="E12">
        <v>1</v>
      </c>
      <c r="F12">
        <v>1</v>
      </c>
      <c r="G12">
        <v>1</v>
      </c>
      <c r="H12">
        <v>3</v>
      </c>
      <c r="I12" t="s">
        <v>149</v>
      </c>
      <c r="J12" t="s">
        <v>150</v>
      </c>
      <c r="K12" t="s">
        <v>151</v>
      </c>
      <c r="L12">
        <v>1346</v>
      </c>
      <c r="N12">
        <v>1009</v>
      </c>
      <c r="O12" t="s">
        <v>148</v>
      </c>
      <c r="P12" t="s">
        <v>148</v>
      </c>
      <c r="Q12">
        <v>1</v>
      </c>
      <c r="Y12">
        <v>0.1</v>
      </c>
      <c r="AA12">
        <v>28.6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0.1</v>
      </c>
      <c r="AV12">
        <v>0</v>
      </c>
      <c r="AW12">
        <v>2</v>
      </c>
      <c r="AX12">
        <v>17872097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ROW(Source!A29)</f>
        <v>29</v>
      </c>
      <c r="B13">
        <v>17872087</v>
      </c>
      <c r="C13">
        <v>17872075</v>
      </c>
      <c r="D13">
        <v>0</v>
      </c>
      <c r="E13">
        <v>0</v>
      </c>
      <c r="F13">
        <v>1</v>
      </c>
      <c r="G13">
        <v>1</v>
      </c>
      <c r="H13">
        <v>3</v>
      </c>
      <c r="I13" t="s">
        <v>152</v>
      </c>
      <c r="L13">
        <v>0</v>
      </c>
      <c r="Y13">
        <v>0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0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ROW(Source!A29)</f>
        <v>29</v>
      </c>
      <c r="B14">
        <v>17872088</v>
      </c>
      <c r="C14">
        <v>17872075</v>
      </c>
      <c r="D14">
        <v>0</v>
      </c>
      <c r="E14">
        <v>0</v>
      </c>
      <c r="F14">
        <v>1</v>
      </c>
      <c r="G14">
        <v>1</v>
      </c>
      <c r="H14">
        <v>3</v>
      </c>
      <c r="I14" t="s">
        <v>152</v>
      </c>
      <c r="L14">
        <v>0</v>
      </c>
      <c r="Y14">
        <v>0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ROW(Source!A29)</f>
        <v>29</v>
      </c>
      <c r="B15">
        <v>17872085</v>
      </c>
      <c r="C15">
        <v>17872075</v>
      </c>
      <c r="D15">
        <v>12167316</v>
      </c>
      <c r="E15">
        <v>1</v>
      </c>
      <c r="F15">
        <v>1</v>
      </c>
      <c r="G15">
        <v>1</v>
      </c>
      <c r="H15">
        <v>3</v>
      </c>
      <c r="I15" t="s">
        <v>153</v>
      </c>
      <c r="J15" t="s">
        <v>154</v>
      </c>
      <c r="K15" t="s">
        <v>155</v>
      </c>
      <c r="L15">
        <v>1346</v>
      </c>
      <c r="N15">
        <v>1009</v>
      </c>
      <c r="O15" t="s">
        <v>148</v>
      </c>
      <c r="P15" t="s">
        <v>148</v>
      </c>
      <c r="Q15">
        <v>1</v>
      </c>
      <c r="Y15">
        <v>1.27</v>
      </c>
      <c r="AA15">
        <v>47.57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1.27</v>
      </c>
      <c r="AV15">
        <v>0</v>
      </c>
      <c r="AW15">
        <v>2</v>
      </c>
      <c r="AX15">
        <v>17872098</v>
      </c>
      <c r="AY15">
        <v>1</v>
      </c>
      <c r="AZ15">
        <v>0</v>
      </c>
      <c r="BA15">
        <v>13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ROW(Source!A29)</f>
        <v>29</v>
      </c>
      <c r="B16">
        <v>17872086</v>
      </c>
      <c r="C16">
        <v>17872075</v>
      </c>
      <c r="D16">
        <v>12167695</v>
      </c>
      <c r="E16">
        <v>1</v>
      </c>
      <c r="F16">
        <v>1</v>
      </c>
      <c r="G16">
        <v>1</v>
      </c>
      <c r="H16">
        <v>3</v>
      </c>
      <c r="I16" t="s">
        <v>156</v>
      </c>
      <c r="J16" t="s">
        <v>157</v>
      </c>
      <c r="K16" t="s">
        <v>158</v>
      </c>
      <c r="L16">
        <v>1374</v>
      </c>
      <c r="N16">
        <v>1013</v>
      </c>
      <c r="O16" t="s">
        <v>159</v>
      </c>
      <c r="P16" t="s">
        <v>159</v>
      </c>
      <c r="Q16">
        <v>1</v>
      </c>
      <c r="Y16">
        <v>11.49</v>
      </c>
      <c r="AA16">
        <v>1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11.49</v>
      </c>
      <c r="AV16">
        <v>0</v>
      </c>
      <c r="AW16">
        <v>2</v>
      </c>
      <c r="AX16">
        <v>17872099</v>
      </c>
      <c r="AY16">
        <v>1</v>
      </c>
      <c r="AZ16">
        <v>0</v>
      </c>
      <c r="BA16">
        <v>14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17872072</v>
      </c>
      <c r="C1">
        <v>17872068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117</v>
      </c>
      <c r="K1" t="s">
        <v>118</v>
      </c>
      <c r="L1">
        <v>1369</v>
      </c>
      <c r="N1">
        <v>1013</v>
      </c>
      <c r="O1" t="s">
        <v>119</v>
      </c>
      <c r="P1" t="s">
        <v>119</v>
      </c>
      <c r="Q1">
        <v>1</v>
      </c>
      <c r="X1">
        <v>9.64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9.64</v>
      </c>
      <c r="AH1">
        <v>2</v>
      </c>
      <c r="AI1">
        <v>17872069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17872073</v>
      </c>
      <c r="C2">
        <v>17872068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120</v>
      </c>
      <c r="K2" t="s">
        <v>121</v>
      </c>
      <c r="L2">
        <v>608254</v>
      </c>
      <c r="N2">
        <v>1013</v>
      </c>
      <c r="O2" t="s">
        <v>122</v>
      </c>
      <c r="P2" t="s">
        <v>122</v>
      </c>
      <c r="Q2">
        <v>1</v>
      </c>
      <c r="X2">
        <v>0.01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0.01</v>
      </c>
      <c r="AH2">
        <v>2</v>
      </c>
      <c r="AI2">
        <v>17872070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17872074</v>
      </c>
      <c r="C3">
        <v>17872068</v>
      </c>
      <c r="D3">
        <v>12072043</v>
      </c>
      <c r="E3">
        <v>1</v>
      </c>
      <c r="F3">
        <v>1</v>
      </c>
      <c r="G3">
        <v>1</v>
      </c>
      <c r="H3">
        <v>2</v>
      </c>
      <c r="I3" t="s">
        <v>123</v>
      </c>
      <c r="J3" t="s">
        <v>124</v>
      </c>
      <c r="K3" t="s">
        <v>125</v>
      </c>
      <c r="L3">
        <v>1368</v>
      </c>
      <c r="N3">
        <v>1011</v>
      </c>
      <c r="O3" t="s">
        <v>126</v>
      </c>
      <c r="P3" t="s">
        <v>126</v>
      </c>
      <c r="Q3">
        <v>1</v>
      </c>
      <c r="X3">
        <v>0.01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0.01</v>
      </c>
      <c r="AH3">
        <v>2</v>
      </c>
      <c r="AI3">
        <v>17872071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17872089</v>
      </c>
      <c r="C4">
        <v>17872075</v>
      </c>
      <c r="D4">
        <v>9430636</v>
      </c>
      <c r="E4">
        <v>1</v>
      </c>
      <c r="F4">
        <v>1</v>
      </c>
      <c r="G4">
        <v>1</v>
      </c>
      <c r="H4">
        <v>1</v>
      </c>
      <c r="I4" t="s">
        <v>127</v>
      </c>
      <c r="K4" t="s">
        <v>128</v>
      </c>
      <c r="L4">
        <v>1369</v>
      </c>
      <c r="N4">
        <v>1013</v>
      </c>
      <c r="O4" t="s">
        <v>119</v>
      </c>
      <c r="P4" t="s">
        <v>119</v>
      </c>
      <c r="Q4">
        <v>1</v>
      </c>
      <c r="X4">
        <v>61.12</v>
      </c>
      <c r="Y4">
        <v>0</v>
      </c>
      <c r="Z4">
        <v>0</v>
      </c>
      <c r="AA4">
        <v>0</v>
      </c>
      <c r="AB4">
        <v>9.4</v>
      </c>
      <c r="AC4">
        <v>0</v>
      </c>
      <c r="AD4">
        <v>1</v>
      </c>
      <c r="AE4">
        <v>1</v>
      </c>
      <c r="AF4" t="s">
        <v>27</v>
      </c>
      <c r="AG4">
        <v>82.512</v>
      </c>
      <c r="AH4">
        <v>2</v>
      </c>
      <c r="AI4">
        <v>17872076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17872090</v>
      </c>
      <c r="C5">
        <v>17872075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120</v>
      </c>
      <c r="K5" t="s">
        <v>121</v>
      </c>
      <c r="L5">
        <v>608254</v>
      </c>
      <c r="N5">
        <v>1013</v>
      </c>
      <c r="O5" t="s">
        <v>122</v>
      </c>
      <c r="P5" t="s">
        <v>122</v>
      </c>
      <c r="Q5">
        <v>1</v>
      </c>
      <c r="X5">
        <v>1.98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27</v>
      </c>
      <c r="AG5">
        <v>2.673</v>
      </c>
      <c r="AH5">
        <v>2</v>
      </c>
      <c r="AI5">
        <v>17872077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17872091</v>
      </c>
      <c r="C6">
        <v>17872075</v>
      </c>
      <c r="D6">
        <v>12071797</v>
      </c>
      <c r="E6">
        <v>1</v>
      </c>
      <c r="F6">
        <v>1</v>
      </c>
      <c r="G6">
        <v>1</v>
      </c>
      <c r="H6">
        <v>2</v>
      </c>
      <c r="I6" t="s">
        <v>129</v>
      </c>
      <c r="J6" t="s">
        <v>130</v>
      </c>
      <c r="K6" t="s">
        <v>131</v>
      </c>
      <c r="L6">
        <v>1368</v>
      </c>
      <c r="N6">
        <v>1011</v>
      </c>
      <c r="O6" t="s">
        <v>126</v>
      </c>
      <c r="P6" t="s">
        <v>126</v>
      </c>
      <c r="Q6">
        <v>1</v>
      </c>
      <c r="X6">
        <v>1.98</v>
      </c>
      <c r="Y6">
        <v>0</v>
      </c>
      <c r="Z6">
        <v>134.65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27</v>
      </c>
      <c r="AG6">
        <v>2.673</v>
      </c>
      <c r="AH6">
        <v>2</v>
      </c>
      <c r="AI6">
        <v>17872078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17872092</v>
      </c>
      <c r="C7">
        <v>17872075</v>
      </c>
      <c r="D7">
        <v>12072161</v>
      </c>
      <c r="E7">
        <v>1</v>
      </c>
      <c r="F7">
        <v>1</v>
      </c>
      <c r="G7">
        <v>1</v>
      </c>
      <c r="H7">
        <v>2</v>
      </c>
      <c r="I7" t="s">
        <v>132</v>
      </c>
      <c r="J7" t="s">
        <v>133</v>
      </c>
      <c r="K7" t="s">
        <v>134</v>
      </c>
      <c r="L7">
        <v>1368</v>
      </c>
      <c r="N7">
        <v>1011</v>
      </c>
      <c r="O7" t="s">
        <v>126</v>
      </c>
      <c r="P7" t="s">
        <v>126</v>
      </c>
      <c r="Q7">
        <v>1</v>
      </c>
      <c r="X7">
        <v>4.94</v>
      </c>
      <c r="Y7">
        <v>0</v>
      </c>
      <c r="Z7">
        <v>8.1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27</v>
      </c>
      <c r="AG7">
        <v>6.669000000000001</v>
      </c>
      <c r="AH7">
        <v>2</v>
      </c>
      <c r="AI7">
        <v>17872079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17872093</v>
      </c>
      <c r="C8">
        <v>17872075</v>
      </c>
      <c r="D8">
        <v>12074323</v>
      </c>
      <c r="E8">
        <v>1</v>
      </c>
      <c r="F8">
        <v>1</v>
      </c>
      <c r="G8">
        <v>1</v>
      </c>
      <c r="H8">
        <v>2</v>
      </c>
      <c r="I8" t="s">
        <v>135</v>
      </c>
      <c r="J8" t="s">
        <v>136</v>
      </c>
      <c r="K8" t="s">
        <v>137</v>
      </c>
      <c r="L8">
        <v>1368</v>
      </c>
      <c r="N8">
        <v>1011</v>
      </c>
      <c r="O8" t="s">
        <v>126</v>
      </c>
      <c r="P8" t="s">
        <v>126</v>
      </c>
      <c r="Q8">
        <v>1</v>
      </c>
      <c r="X8">
        <v>4.89</v>
      </c>
      <c r="Y8">
        <v>0</v>
      </c>
      <c r="Z8">
        <v>1.95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27</v>
      </c>
      <c r="AG8">
        <v>6.6015</v>
      </c>
      <c r="AH8">
        <v>2</v>
      </c>
      <c r="AI8">
        <v>17872080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17872094</v>
      </c>
      <c r="C9">
        <v>17872075</v>
      </c>
      <c r="D9">
        <v>12074784</v>
      </c>
      <c r="E9">
        <v>1</v>
      </c>
      <c r="F9">
        <v>1</v>
      </c>
      <c r="G9">
        <v>1</v>
      </c>
      <c r="H9">
        <v>2</v>
      </c>
      <c r="I9" t="s">
        <v>138</v>
      </c>
      <c r="J9" t="s">
        <v>139</v>
      </c>
      <c r="K9" t="s">
        <v>140</v>
      </c>
      <c r="L9">
        <v>1368</v>
      </c>
      <c r="N9">
        <v>1011</v>
      </c>
      <c r="O9" t="s">
        <v>126</v>
      </c>
      <c r="P9" t="s">
        <v>126</v>
      </c>
      <c r="Q9">
        <v>1</v>
      </c>
      <c r="X9">
        <v>1.98</v>
      </c>
      <c r="Y9">
        <v>0</v>
      </c>
      <c r="Z9">
        <v>87.17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27</v>
      </c>
      <c r="AG9">
        <v>2.673</v>
      </c>
      <c r="AH9">
        <v>2</v>
      </c>
      <c r="AI9">
        <v>17872081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17872095</v>
      </c>
      <c r="C10">
        <v>17872075</v>
      </c>
      <c r="D10">
        <v>12107920</v>
      </c>
      <c r="E10">
        <v>1</v>
      </c>
      <c r="F10">
        <v>1</v>
      </c>
      <c r="G10">
        <v>1</v>
      </c>
      <c r="H10">
        <v>3</v>
      </c>
      <c r="I10" t="s">
        <v>141</v>
      </c>
      <c r="J10" t="s">
        <v>142</v>
      </c>
      <c r="K10" t="s">
        <v>143</v>
      </c>
      <c r="L10">
        <v>1348</v>
      </c>
      <c r="N10">
        <v>1009</v>
      </c>
      <c r="O10" t="s">
        <v>144</v>
      </c>
      <c r="P10" t="s">
        <v>144</v>
      </c>
      <c r="Q10">
        <v>1000</v>
      </c>
      <c r="X10">
        <v>0.0017</v>
      </c>
      <c r="Y10">
        <v>12430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0.0017</v>
      </c>
      <c r="AH10">
        <v>2</v>
      </c>
      <c r="AI10">
        <v>17872082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17872096</v>
      </c>
      <c r="C11">
        <v>17872075</v>
      </c>
      <c r="D11">
        <v>12107539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1346</v>
      </c>
      <c r="N11">
        <v>1009</v>
      </c>
      <c r="O11" t="s">
        <v>148</v>
      </c>
      <c r="P11" t="s">
        <v>148</v>
      </c>
      <c r="Q11">
        <v>1</v>
      </c>
      <c r="X11">
        <v>3</v>
      </c>
      <c r="Y11">
        <v>10.57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3</v>
      </c>
      <c r="AH11">
        <v>2</v>
      </c>
      <c r="AI11">
        <v>17872083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17872097</v>
      </c>
      <c r="C12">
        <v>17872075</v>
      </c>
      <c r="D12">
        <v>12102363</v>
      </c>
      <c r="E12">
        <v>1</v>
      </c>
      <c r="F12">
        <v>1</v>
      </c>
      <c r="G12">
        <v>1</v>
      </c>
      <c r="H12">
        <v>3</v>
      </c>
      <c r="I12" t="s">
        <v>149</v>
      </c>
      <c r="J12" t="s">
        <v>150</v>
      </c>
      <c r="K12" t="s">
        <v>151</v>
      </c>
      <c r="L12">
        <v>1346</v>
      </c>
      <c r="N12">
        <v>1009</v>
      </c>
      <c r="O12" t="s">
        <v>148</v>
      </c>
      <c r="P12" t="s">
        <v>148</v>
      </c>
      <c r="Q12">
        <v>1</v>
      </c>
      <c r="X12">
        <v>0.1</v>
      </c>
      <c r="Y12">
        <v>28.6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0.1</v>
      </c>
      <c r="AH12">
        <v>2</v>
      </c>
      <c r="AI12">
        <v>17872084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17872098</v>
      </c>
      <c r="C13">
        <v>17872075</v>
      </c>
      <c r="D13">
        <v>12167316</v>
      </c>
      <c r="E13">
        <v>1</v>
      </c>
      <c r="F13">
        <v>1</v>
      </c>
      <c r="G13">
        <v>1</v>
      </c>
      <c r="H13">
        <v>3</v>
      </c>
      <c r="I13" t="s">
        <v>153</v>
      </c>
      <c r="J13" t="s">
        <v>154</v>
      </c>
      <c r="K13" t="s">
        <v>155</v>
      </c>
      <c r="L13">
        <v>1346</v>
      </c>
      <c r="N13">
        <v>1009</v>
      </c>
      <c r="O13" t="s">
        <v>148</v>
      </c>
      <c r="P13" t="s">
        <v>148</v>
      </c>
      <c r="Q13">
        <v>1</v>
      </c>
      <c r="X13">
        <v>1.27</v>
      </c>
      <c r="Y13">
        <v>47.57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1.27</v>
      </c>
      <c r="AH13">
        <v>2</v>
      </c>
      <c r="AI13">
        <v>17872085</v>
      </c>
      <c r="AJ13">
        <v>15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17872099</v>
      </c>
      <c r="C14">
        <v>17872075</v>
      </c>
      <c r="D14">
        <v>12167695</v>
      </c>
      <c r="E14">
        <v>1</v>
      </c>
      <c r="F14">
        <v>1</v>
      </c>
      <c r="G14">
        <v>1</v>
      </c>
      <c r="H14">
        <v>3</v>
      </c>
      <c r="I14" t="s">
        <v>156</v>
      </c>
      <c r="J14" t="s">
        <v>157</v>
      </c>
      <c r="K14" t="s">
        <v>158</v>
      </c>
      <c r="L14">
        <v>1374</v>
      </c>
      <c r="N14">
        <v>1013</v>
      </c>
      <c r="O14" t="s">
        <v>159</v>
      </c>
      <c r="P14" t="s">
        <v>159</v>
      </c>
      <c r="Q14">
        <v>1</v>
      </c>
      <c r="X14">
        <v>11.49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11.49</v>
      </c>
      <c r="AH14">
        <v>2</v>
      </c>
      <c r="AI14">
        <v>17872086</v>
      </c>
      <c r="AJ14">
        <v>16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Маркетолог</cp:lastModifiedBy>
  <dcterms:created xsi:type="dcterms:W3CDTF">2020-06-08T15:43:09Z</dcterms:created>
  <dcterms:modified xsi:type="dcterms:W3CDTF">2020-06-08T15:43:09Z</dcterms:modified>
  <cp:category/>
  <cp:version/>
  <cp:contentType/>
  <cp:contentStatus/>
</cp:coreProperties>
</file>